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0" windowWidth="15945" windowHeight="1297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<sst xmlns="http://schemas.openxmlformats.org/spreadsheetml/2006/main" count="1678" uniqueCount="353">
  <si>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</si>
  <si>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</si>
  <si>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</si>
  <si>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</si>
  <si>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</si>
  <si>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</si>
  <si>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</si>
  <si>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</si>
  <si>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</si>
  <si>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</si>
  <si>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</si>
  <si>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</si>
  <si>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</si>
  <si>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</si>
  <si>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</si>
  <si>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</si>
  <si>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</si>
  <si>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</si>
  <si>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</si>
  <si>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</si>
  <si>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</si>
  <si>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</si>
  <si>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</si>
  <si>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</si>
  <si>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</si>
  <si>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</si>
  <si>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</si>
  <si>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</si>
  <si>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</si>
  <si>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</si>
  <si>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</si>
  <si>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</si>
  <si>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</si>
  <si>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</si>
  <si>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</si>
  <si>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</si>
  <si>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</si>
  <si>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</si>
  <si>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</si>
  <si>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</si>
  <si>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</si>
  <si>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</si>
  <si>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</si>
  <si>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</si>
  <si>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</si>
  <si>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</si>
  <si>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</si>
  <si>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</si>
  <si>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</si>
  <si>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</si>
  <si>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</si>
  <si>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</si>
  <si>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</si>
  <si>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</si>
  <si>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</si>
  <si>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</si>
  <si>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</si>
  <si>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</si>
  <si>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</si>
  <si>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</si>
  <si>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</si>
  <si>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</si>
  <si>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</si>
  <si>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</si>
  <si>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</si>
  <si>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</si>
  <si>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</si>
  <si>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</si>
  <si>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</si>
  <si>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</si>
  <si>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</si>
  <si>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</si>
  <si>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</si>
  <si>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</si>
  <si>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</si>
  <si>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</si>
  <si>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</si>
  <si>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</si>
  <si>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</si>
  <si>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</si>
  <si>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</si>
  <si>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</si>
  <si>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</si>
  <si>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</si>
  <si>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</si>
  <si>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</si>
  <si>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</si>
  <si>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</si>
  <si>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</si>
  <si>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</si>
  <si>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</si>
  <si>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</si>
  <si>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</si>
  <si>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</si>
  <si>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</si>
  <si>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</si>
  <si>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</si>
  <si>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</si>
  <si>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</si>
  <si>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</si>
  <si>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</si>
  <si>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</si>
  <si>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</si>
  <si>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</si>
  <si>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</si>
  <si>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</si>
  <si>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</si>
  <si>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</si>
  <si>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</si>
  <si>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</si>
  <si>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</si>
  <si>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</si>
  <si>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</si>
  <si>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</si>
  <si>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</si>
  <si>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</si>
  <si>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</si>
  <si>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</si>
  <si>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</si>
  <si>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</si>
  <si>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</si>
  <si>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</si>
  <si>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</si>
  <si>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</si>
  <si>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</si>
  <si>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</si>
  <si>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</si>
  <si>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</si>
  <si>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</si>
  <si>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</si>
  <si>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</si>
  <si>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</si>
  <si>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</si>
  <si>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</si>
  <si>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</si>
  <si>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</si>
  <si>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</si>
  <si>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</si>
  <si>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</si>
  <si>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</si>
  <si>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</si>
  <si>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</si>
  <si>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</si>
  <si>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</si>
  <si>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</si>
  <si>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</si>
  <si>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</si>
  <si>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</si>
  <si>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</si>
  <si>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</si>
  <si>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</si>
  <si>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</si>
  <si>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</si>
  <si>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</si>
  <si>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</si>
  <si>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</si>
  <si>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</si>
  <si>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</si>
  <si>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</si>
  <si>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</si>
  <si>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</si>
  <si>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</si>
  <si>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</si>
  <si>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</si>
  <si>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</si>
  <si>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</si>
  <si>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</si>
  <si>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</si>
  <si>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</si>
  <si>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</si>
  <si>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</si>
  <si>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</si>
  <si>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</si>
  <si>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</si>
  <si>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</si>
  <si>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</si>
  <si>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</si>
  <si>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</si>
  <si>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</si>
  <si>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</si>
  <si>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</si>
  <si>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</si>
  <si>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</si>
  <si>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</si>
  <si>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</si>
  <si>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</si>
  <si>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</si>
  <si>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</si>
  <si>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</si>
  <si>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</si>
  <si>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</si>
  <si>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</si>
  <si>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</si>
  <si>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</si>
  <si>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</si>
  <si>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</si>
  <si>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</si>
  <si>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</si>
  <si>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</si>
  <si>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</si>
  <si>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</si>
  <si>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</si>
  <si>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</si>
  <si>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</si>
  <si>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</si>
  <si>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</si>
  <si>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</si>
  <si>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</si>
  <si>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</si>
  <si>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</si>
  <si>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</si>
  <si>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</si>
  <si>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</si>
  <si>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</si>
  <si>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</si>
  <si>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</si>
  <si>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</si>
  <si>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</si>
  <si>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</si>
  <si>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</si>
  <si>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</si>
  <si>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</si>
  <si>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</si>
  <si>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</si>
  <si>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</si>
  <si>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</si>
  <si>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</si>
  <si>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</si>
  <si>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</si>
  <si>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</si>
  <si>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</si>
  <si>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</si>
  <si>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</si>
  <si>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</si>
  <si>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</si>
  <si>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</si>
  <si>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</si>
  <si>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</si>
  <si>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</si>
  <si>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</si>
  <si>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</si>
  <si>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</si>
  <si>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</si>
  <si>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</si>
  <si>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</si>
  <si>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</si>
  <si>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</si>
  <si>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</si>
  <si>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</si>
  <si>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</si>
  <si>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</si>
  <si>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</si>
  <si>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</si>
  <si>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</si>
  <si>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</si>
  <si>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</si>
  <si>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</si>
  <si>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</si>
  <si>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</si>
  <si>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</si>
  <si>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</si>
  <si>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</si>
  <si>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</si>
  <si>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</si>
  <si>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</si>
  <si>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</si>
  <si>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</si>
  <si>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</si>
  <si>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</si>
  <si>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</si>
  <si>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</si>
  <si>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</si>
  <si>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</si>
  <si>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</si>
  <si>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</si>
  <si>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</si>
  <si>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</si>
  <si>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</si>
  <si>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</si>
  <si>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</si>
  <si>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</si>
  <si>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</si>
  <si>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</si>
  <si>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</si>
  <si>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</si>
  <si>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</si>
  <si>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</si>
  <si>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</si>
  <si>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</si>
  <si>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</si>
  <si>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</si>
  <si>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</si>
  <si>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</si>
  <si>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</si>
  <si>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</si>
  <si>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</si>
  <si>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</si>
  <si>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</si>
  <si>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</si>
  <si>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</si>
  <si>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</si>
  <si>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</si>
  <si>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</si>
  <si>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</si>
  <si>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</si>
  <si>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</si>
  <si>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</si>
  <si>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</si>
  <si>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</si>
  <si>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</si>
  <si>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</si>
  <si>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</si>
  <si>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</si>
  <si>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</si>
  <si>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Осуществление полномочий по подготовке и проведению переписи в 2021 году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</si>
  <si>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</si>
  <si>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</si>
  <si>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</si>
  <si>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</si>
  <si>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</si>
  <si>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</si>
  <si>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</si>
  <si>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</si>
  <si>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</si>
  <si>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Основное мероприятие "Совершенствование спортивной инфраструктуры и материально-технической базы для подготовки спортсменов высокого класса и для занятий физической культурой и массовым спортом, в том числе для лиц с ограниченными возможностями здоровья и инвалидов " 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</si>
  <si>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</si>
  <si>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</si>
  <si>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</si>
  <si>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</si>
  <si>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</si>
  <si>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</si>
  <si>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</si>
  <si>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</si>
  <si>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</si>
  <si>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</si>
  <si>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</si>
  <si>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</si>
  <si>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</si>
  <si>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% исполнения</t>
  </si>
  <si>
    <t>2021 год  с учетом изменений</t>
  </si>
  <si>
    <t>Исполнено за 1 квартал 2021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</si>
  <si>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</si>
  <si>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</si>
  <si>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</si>
  <si>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</si>
  <si>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"__"__________2021 г.№________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</si>
  <si>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2021 год </t>
  </si>
  <si>
    <t>Приложение №2</t>
  </si>
  <si>
    <t>Распределение бюджетных ассигнований на реализацию ведомственных целевых программ за 1 квартал 2021 года</t>
  </si>
  <si>
    <t>Распределение бюджетных ассигнований на реализацию муниципальных программ за 1 квартал 2021 года</t>
  </si>
  <si>
    <t>Распределение бюджетных ассигнований по разделам и подразделам, целевым статьям и видам расходов районного бюджета за 1 квартал 2021 года</t>
  </si>
  <si>
    <t xml:space="preserve"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                                             за 1 квартал 2021 года </t>
  </si>
  <si>
    <t xml:space="preserve">постановлением  администрации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</si>
</sst>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2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3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left" vertical="top" wrapText="1"/>
    </xf>
    <xf numFmtId="0" fontId="64" fillId="33" borderId="11" xfId="0" applyNumberFormat="1" applyFont="1" applyFill="1" applyBorder="1" applyAlignment="1">
      <alignment horizontal="left" vertical="top" wrapText="1"/>
    </xf>
    <xf numFmtId="0" fontId="65" fillId="33" borderId="1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9" fillId="34" borderId="0" xfId="53" applyFont="1" applyFill="1" applyAlignment="1">
      <alignment/>
      <protection/>
    </xf>
    <xf numFmtId="173" fontId="12" fillId="33" borderId="11" xfId="0" applyNumberFormat="1" applyFont="1" applyFill="1" applyBorder="1" applyAlignment="1">
      <alignment horizontal="right" wrapText="1"/>
    </xf>
    <xf numFmtId="173" fontId="4" fillId="33" borderId="11" xfId="0" applyNumberFormat="1" applyFont="1" applyFill="1" applyBorder="1" applyAlignment="1">
      <alignment horizontal="righ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10" zoomScaleNormal="110" zoomScalePageLayoutView="0" workbookViewId="0" topLeftCell="A31">
      <selection activeCell="G9" sqref="G9"/>
    </sheetView>
  </sheetViews>
  <sheetFormatPr defaultColWidth="9.140625" defaultRowHeight="12.75"/>
  <cols>
    <col min="1" max="1" width="5.7109375" style="20" customWidth="1"/>
    <col min="2" max="2" width="44.851562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123</v>
      </c>
      <c r="B1" s="19"/>
      <c r="C1" s="106" t="s">
        <v>347</v>
      </c>
      <c r="D1" s="106"/>
      <c r="E1" s="106"/>
    </row>
    <row r="2" spans="1:5" ht="16.5">
      <c r="A2" s="18"/>
      <c r="B2" s="19"/>
      <c r="C2" s="106" t="s">
        <v>342</v>
      </c>
      <c r="D2" s="106"/>
      <c r="E2" s="106"/>
    </row>
    <row r="3" spans="1:5" ht="16.5">
      <c r="A3" s="18"/>
      <c r="B3" s="107" t="s">
        <v>352</v>
      </c>
      <c r="C3" s="107"/>
      <c r="D3" s="107"/>
      <c r="E3" s="107"/>
    </row>
    <row r="4" spans="1:6" ht="16.5">
      <c r="A4" s="18"/>
      <c r="B4" s="107" t="s">
        <v>344</v>
      </c>
      <c r="C4" s="107"/>
      <c r="D4" s="107"/>
      <c r="E4" s="107"/>
      <c r="F4" s="90"/>
    </row>
    <row r="5" spans="1:5" ht="16.5">
      <c r="A5" s="18"/>
      <c r="B5" s="107" t="s">
        <v>345</v>
      </c>
      <c r="C5" s="107"/>
      <c r="D5" s="107"/>
      <c r="E5" s="107"/>
    </row>
    <row r="6" spans="1:5" ht="59.25" customHeight="1">
      <c r="A6" s="108" t="s">
        <v>351</v>
      </c>
      <c r="B6" s="108"/>
      <c r="C6" s="108"/>
      <c r="D6" s="108"/>
      <c r="E6" s="108"/>
    </row>
    <row r="7" spans="1:5" ht="16.5">
      <c r="A7" s="21" t="s">
        <v>126</v>
      </c>
      <c r="B7" s="19"/>
      <c r="C7" s="105"/>
      <c r="D7" s="105"/>
      <c r="E7" s="88" t="s">
        <v>303</v>
      </c>
    </row>
    <row r="8" spans="1:5" ht="38.25">
      <c r="A8" s="42" t="s">
        <v>127</v>
      </c>
      <c r="B8" s="42" t="s">
        <v>128</v>
      </c>
      <c r="C8" s="34" t="s">
        <v>339</v>
      </c>
      <c r="D8" s="34" t="s">
        <v>340</v>
      </c>
      <c r="E8" s="34" t="s">
        <v>338</v>
      </c>
    </row>
    <row r="9" spans="1:5" ht="16.5" customHeight="1">
      <c r="A9" s="82" t="s">
        <v>41</v>
      </c>
      <c r="B9" s="83" t="s">
        <v>129</v>
      </c>
      <c r="C9" s="84">
        <f>SUM(C10:C18)</f>
        <v>62599.62879</v>
      </c>
      <c r="D9" s="84">
        <f>SUM(D10:D18)</f>
        <v>14894.445989999998</v>
      </c>
      <c r="E9" s="93">
        <f aca="true" t="shared" si="0" ref="E9:E61">SUM(D9/C9)*100</f>
        <v>23.79318580301121</v>
      </c>
    </row>
    <row r="10" spans="1:5" ht="29.25" customHeight="1">
      <c r="A10" s="46" t="s">
        <v>42</v>
      </c>
      <c r="B10" s="44" t="s">
        <v>130</v>
      </c>
      <c r="C10" s="45">
        <f>SUM('Таблица №8'!F11)</f>
        <v>1710</v>
      </c>
      <c r="D10" s="45">
        <f>SUM('Таблица №8'!G11)</f>
        <v>290.41642</v>
      </c>
      <c r="E10" s="92">
        <f t="shared" si="0"/>
        <v>16.983416374269005</v>
      </c>
    </row>
    <row r="11" spans="1:5" ht="28.5" customHeight="1">
      <c r="A11" s="46" t="s">
        <v>28</v>
      </c>
      <c r="B11" s="44" t="s">
        <v>131</v>
      </c>
      <c r="C11" s="45">
        <f>SUM('Таблица №8'!F14)</f>
        <v>450</v>
      </c>
      <c r="D11" s="45">
        <f>SUM('Таблица №8'!G14)</f>
        <v>69.08759</v>
      </c>
      <c r="E11" s="92">
        <f t="shared" si="0"/>
        <v>15.352797777777779</v>
      </c>
    </row>
    <row r="12" spans="1:5" ht="19.5" customHeight="1">
      <c r="A12" s="46" t="s">
        <v>40</v>
      </c>
      <c r="B12" s="44" t="s">
        <v>132</v>
      </c>
      <c r="C12" s="45">
        <f>SUM('Таблица №8'!F20)</f>
        <v>29631.3</v>
      </c>
      <c r="D12" s="45">
        <f>SUM('Таблица №8'!G20)</f>
        <v>5351.10686</v>
      </c>
      <c r="E12" s="92">
        <f t="shared" si="0"/>
        <v>18.05896757820278</v>
      </c>
    </row>
    <row r="13" spans="1:5" ht="15" customHeight="1">
      <c r="A13" s="46" t="s">
        <v>43</v>
      </c>
      <c r="B13" s="44" t="s">
        <v>35</v>
      </c>
      <c r="C13" s="45">
        <f>SUM('Приложение 3'!G51)</f>
        <v>3.4</v>
      </c>
      <c r="D13" s="45">
        <f>SUM('Приложение 3'!H51)</f>
        <v>0</v>
      </c>
      <c r="E13" s="92">
        <f t="shared" si="0"/>
        <v>0</v>
      </c>
    </row>
    <row r="14" spans="1:5" ht="42.75" customHeight="1">
      <c r="A14" s="46" t="s">
        <v>31</v>
      </c>
      <c r="B14" s="44" t="s">
        <v>133</v>
      </c>
      <c r="C14" s="45">
        <f>SUM('Таблица №8'!F44)</f>
        <v>1330.6</v>
      </c>
      <c r="D14" s="45">
        <f>SUM('Таблица №8'!G44)</f>
        <v>220.9654</v>
      </c>
      <c r="E14" s="92">
        <f t="shared" si="0"/>
        <v>16.60644821884864</v>
      </c>
    </row>
    <row r="15" spans="1:5" ht="16.5" customHeight="1">
      <c r="A15" s="46" t="s">
        <v>44</v>
      </c>
      <c r="B15" s="44" t="s">
        <v>36</v>
      </c>
      <c r="C15" s="45">
        <f>SUM('Таблица №8'!F51)</f>
        <v>0</v>
      </c>
      <c r="D15" s="45">
        <f>SUM('Таблица №8'!G51)</f>
        <v>0</v>
      </c>
      <c r="E15" s="92">
        <v>0</v>
      </c>
    </row>
    <row r="16" spans="1:5" ht="16.5" customHeight="1">
      <c r="A16" s="46" t="s">
        <v>45</v>
      </c>
      <c r="B16" s="44" t="s">
        <v>134</v>
      </c>
      <c r="C16" s="45">
        <f>SUM('Таблица №8'!F55)</f>
        <v>320</v>
      </c>
      <c r="D16" s="45">
        <f>SUM('Таблица №8'!G55)</f>
        <v>0</v>
      </c>
      <c r="E16" s="92">
        <f t="shared" si="0"/>
        <v>0</v>
      </c>
    </row>
    <row r="17" spans="1:5" ht="16.5" customHeight="1">
      <c r="A17" s="46" t="s">
        <v>29</v>
      </c>
      <c r="B17" s="44" t="s">
        <v>46</v>
      </c>
      <c r="C17" s="45">
        <f>SUM('Таблица №8'!F57)-C18</f>
        <v>29154.32879</v>
      </c>
      <c r="D17" s="45">
        <f>SUM('Таблица №8'!G57)-D18</f>
        <v>8962.869719999999</v>
      </c>
      <c r="E17" s="92">
        <f t="shared" si="0"/>
        <v>30.742843659889996</v>
      </c>
    </row>
    <row r="18" spans="1:5" ht="16.5" customHeight="1">
      <c r="A18" s="46" t="s">
        <v>29</v>
      </c>
      <c r="B18" s="44" t="s">
        <v>47</v>
      </c>
      <c r="C18" s="45">
        <f>SUM('Таблица №8'!F91)</f>
        <v>0</v>
      </c>
      <c r="D18" s="45">
        <f>SUM('Таблица №8'!G91)</f>
        <v>0</v>
      </c>
      <c r="E18" s="92">
        <v>0</v>
      </c>
    </row>
    <row r="19" spans="1:5" ht="16.5" customHeight="1">
      <c r="A19" s="82" t="s">
        <v>114</v>
      </c>
      <c r="B19" s="83" t="s">
        <v>135</v>
      </c>
      <c r="C19" s="84">
        <f>SUM(C20)</f>
        <v>320</v>
      </c>
      <c r="D19" s="84">
        <f>SUM(D20)</f>
        <v>0</v>
      </c>
      <c r="E19" s="93">
        <f t="shared" si="0"/>
        <v>0</v>
      </c>
    </row>
    <row r="20" spans="1:5" ht="16.5" customHeight="1">
      <c r="A20" s="46" t="s">
        <v>50</v>
      </c>
      <c r="B20" s="44" t="s">
        <v>49</v>
      </c>
      <c r="C20" s="45">
        <f>SUM('Таблица №8'!F92)</f>
        <v>320</v>
      </c>
      <c r="D20" s="45">
        <f>SUM('Таблица №8'!G92)</f>
        <v>0</v>
      </c>
      <c r="E20" s="92">
        <f t="shared" si="0"/>
        <v>0</v>
      </c>
    </row>
    <row r="21" spans="1:5" ht="27.75" customHeight="1">
      <c r="A21" s="82" t="s">
        <v>115</v>
      </c>
      <c r="B21" s="83" t="s">
        <v>119</v>
      </c>
      <c r="C21" s="84">
        <f>SUM(C22:C23)</f>
        <v>70</v>
      </c>
      <c r="D21" s="84">
        <f>SUM(D22:D23)</f>
        <v>0</v>
      </c>
      <c r="E21" s="93">
        <f t="shared" si="0"/>
        <v>0</v>
      </c>
    </row>
    <row r="22" spans="1:5" ht="16.5" customHeight="1">
      <c r="A22" s="46" t="s">
        <v>51</v>
      </c>
      <c r="B22" s="44" t="s">
        <v>321</v>
      </c>
      <c r="C22" s="45">
        <f>SUM('Таблица №8'!F98)</f>
        <v>20</v>
      </c>
      <c r="D22" s="45">
        <f>SUM('Таблица №8'!G98)</f>
        <v>0</v>
      </c>
      <c r="E22" s="92">
        <f t="shared" si="0"/>
        <v>0</v>
      </c>
    </row>
    <row r="23" spans="1:5" ht="42.75" customHeight="1">
      <c r="A23" s="46" t="s">
        <v>320</v>
      </c>
      <c r="B23" s="44" t="s">
        <v>319</v>
      </c>
      <c r="C23" s="45">
        <f>SUM('Таблица №8'!F101)</f>
        <v>50</v>
      </c>
      <c r="D23" s="45">
        <f>SUM('Таблица №8'!G101)</f>
        <v>0</v>
      </c>
      <c r="E23" s="92">
        <f t="shared" si="0"/>
        <v>0</v>
      </c>
    </row>
    <row r="24" spans="1:5" ht="15.75" customHeight="1">
      <c r="A24" s="82" t="s">
        <v>60</v>
      </c>
      <c r="B24" s="83" t="s">
        <v>120</v>
      </c>
      <c r="C24" s="84">
        <f>SUM(C25:C27)</f>
        <v>39782.97663</v>
      </c>
      <c r="D24" s="84">
        <f>SUM(D25:D27)</f>
        <v>142</v>
      </c>
      <c r="E24" s="93">
        <f t="shared" si="0"/>
        <v>0.35693658953844853</v>
      </c>
    </row>
    <row r="25" spans="1:5" ht="15.75" customHeight="1">
      <c r="A25" s="46" t="s">
        <v>150</v>
      </c>
      <c r="B25" s="44" t="s">
        <v>149</v>
      </c>
      <c r="C25" s="45">
        <f>SUM('Таблица №8'!F108)</f>
        <v>134.4</v>
      </c>
      <c r="D25" s="45">
        <f>SUM('Таблица №8'!G108)</f>
        <v>0</v>
      </c>
      <c r="E25" s="92">
        <f t="shared" si="0"/>
        <v>0</v>
      </c>
    </row>
    <row r="26" spans="1:5" ht="15.75" customHeight="1">
      <c r="A26" s="46" t="s">
        <v>52</v>
      </c>
      <c r="B26" s="44" t="s">
        <v>121</v>
      </c>
      <c r="C26" s="45">
        <f>SUM('Таблица №8'!F112)</f>
        <v>39023.576629999996</v>
      </c>
      <c r="D26" s="45">
        <f>SUM('Таблица №8'!G112)</f>
        <v>0</v>
      </c>
      <c r="E26" s="92">
        <f t="shared" si="0"/>
        <v>0</v>
      </c>
    </row>
    <row r="27" spans="1:5" ht="15.75" customHeight="1">
      <c r="A27" s="46" t="s">
        <v>53</v>
      </c>
      <c r="B27" s="44" t="s">
        <v>122</v>
      </c>
      <c r="C27" s="45">
        <f>SUM('Таблица №8'!F120)</f>
        <v>625</v>
      </c>
      <c r="D27" s="45">
        <f>SUM('Таблица №8'!G120)</f>
        <v>142</v>
      </c>
      <c r="E27" s="92">
        <f t="shared" si="0"/>
        <v>22.720000000000002</v>
      </c>
    </row>
    <row r="28" spans="1:5" ht="15.75" customHeight="1">
      <c r="A28" s="82" t="s">
        <v>56</v>
      </c>
      <c r="B28" s="83" t="s">
        <v>136</v>
      </c>
      <c r="C28" s="84">
        <f>SUM(C29:C30)</f>
        <v>133981.52532000002</v>
      </c>
      <c r="D28" s="84">
        <f>SUM(D29:D30)</f>
        <v>5684.019670000001</v>
      </c>
      <c r="E28" s="93">
        <f t="shared" si="0"/>
        <v>4.24239062544209</v>
      </c>
    </row>
    <row r="29" spans="1:5" ht="14.25" customHeight="1">
      <c r="A29" s="46" t="s">
        <v>57</v>
      </c>
      <c r="B29" s="44" t="s">
        <v>54</v>
      </c>
      <c r="C29" s="45">
        <f>SUM('Таблица №8'!F131)</f>
        <v>129427.70832</v>
      </c>
      <c r="D29" s="45">
        <f>SUM('Таблица №8'!G131)</f>
        <v>1130.20268</v>
      </c>
      <c r="E29" s="92">
        <f t="shared" si="0"/>
        <v>0.8732308519329272</v>
      </c>
    </row>
    <row r="30" spans="1:5" ht="15">
      <c r="A30" s="46" t="s">
        <v>137</v>
      </c>
      <c r="B30" s="44" t="s">
        <v>138</v>
      </c>
      <c r="C30" s="45">
        <f>SUM('Таблица №8'!F146)</f>
        <v>4553.817</v>
      </c>
      <c r="D30" s="45">
        <f>SUM('Таблица №8'!G146)</f>
        <v>4553.81699</v>
      </c>
      <c r="E30" s="92">
        <f t="shared" si="0"/>
        <v>99.999999780404</v>
      </c>
    </row>
    <row r="31" spans="1:5" ht="15.75" customHeight="1">
      <c r="A31" s="82" t="s">
        <v>116</v>
      </c>
      <c r="B31" s="83" t="s">
        <v>58</v>
      </c>
      <c r="C31" s="84">
        <f>SUM(C32)</f>
        <v>20</v>
      </c>
      <c r="D31" s="84">
        <f>SUM(D32)</f>
        <v>0</v>
      </c>
      <c r="E31" s="92">
        <f t="shared" si="0"/>
        <v>0</v>
      </c>
    </row>
    <row r="32" spans="1:5" ht="15.75" customHeight="1">
      <c r="A32" s="46" t="s">
        <v>61</v>
      </c>
      <c r="B32" s="44" t="s">
        <v>59</v>
      </c>
      <c r="C32" s="45">
        <f>SUM('Таблица №8'!F147)</f>
        <v>20</v>
      </c>
      <c r="D32" s="45">
        <f>SUM('Таблица №8'!G147)</f>
        <v>0</v>
      </c>
      <c r="E32" s="92">
        <f t="shared" si="0"/>
        <v>0</v>
      </c>
    </row>
    <row r="33" spans="1:5" ht="18" customHeight="1">
      <c r="A33" s="82" t="s">
        <v>65</v>
      </c>
      <c r="B33" s="83" t="s">
        <v>62</v>
      </c>
      <c r="C33" s="84">
        <f>SUM(C34:C38)</f>
        <v>245237.09920000003</v>
      </c>
      <c r="D33" s="84">
        <f>SUM(D34:D38)</f>
        <v>46962.67343</v>
      </c>
      <c r="E33" s="93">
        <f t="shared" si="0"/>
        <v>19.149905778203724</v>
      </c>
    </row>
    <row r="34" spans="1:5" ht="18" customHeight="1">
      <c r="A34" s="46" t="s">
        <v>64</v>
      </c>
      <c r="B34" s="44" t="s">
        <v>63</v>
      </c>
      <c r="C34" s="45">
        <f>SUM('Таблица №8'!F152)</f>
        <v>41863.73287000001</v>
      </c>
      <c r="D34" s="45">
        <f>SUM('Таблица №8'!G152)</f>
        <v>6535.529789999999</v>
      </c>
      <c r="E34" s="92">
        <f t="shared" si="0"/>
        <v>15.611435822731966</v>
      </c>
    </row>
    <row r="35" spans="1:5" ht="18" customHeight="1">
      <c r="A35" s="46" t="s">
        <v>66</v>
      </c>
      <c r="B35" s="44" t="s">
        <v>71</v>
      </c>
      <c r="C35" s="45">
        <f>SUM('Таблица №8'!F174)</f>
        <v>185873.47733000002</v>
      </c>
      <c r="D35" s="45">
        <f>SUM('Таблица №8'!G174)</f>
        <v>36819.04453</v>
      </c>
      <c r="E35" s="92">
        <f t="shared" si="0"/>
        <v>19.808659664031257</v>
      </c>
    </row>
    <row r="36" spans="1:5" ht="18" customHeight="1">
      <c r="A36" s="46" t="s">
        <v>214</v>
      </c>
      <c r="B36" s="44" t="s">
        <v>213</v>
      </c>
      <c r="C36" s="45">
        <f>SUM('Таблица №8'!F214)</f>
        <v>9900</v>
      </c>
      <c r="D36" s="45">
        <f>SUM('Таблица №8'!G214)</f>
        <v>2250.3069</v>
      </c>
      <c r="E36" s="92">
        <f t="shared" si="0"/>
        <v>22.730372727272727</v>
      </c>
    </row>
    <row r="37" spans="1:5" ht="18" customHeight="1">
      <c r="A37" s="46" t="s">
        <v>72</v>
      </c>
      <c r="B37" s="44" t="s">
        <v>322</v>
      </c>
      <c r="C37" s="45">
        <f>SUM('Таблица №8'!F222)</f>
        <v>6284.889</v>
      </c>
      <c r="D37" s="45">
        <f>SUM('Таблица №8'!G222)</f>
        <v>1104.51357</v>
      </c>
      <c r="E37" s="92">
        <f t="shared" si="0"/>
        <v>17.574114196766246</v>
      </c>
    </row>
    <row r="38" spans="1:5" ht="18" customHeight="1">
      <c r="A38" s="46" t="s">
        <v>74</v>
      </c>
      <c r="B38" s="44" t="s">
        <v>73</v>
      </c>
      <c r="C38" s="45">
        <f>SUM('Таблица №8'!F238)</f>
        <v>1315</v>
      </c>
      <c r="D38" s="45">
        <f>SUM('Таблица №8'!G238)</f>
        <v>253.27864</v>
      </c>
      <c r="E38" s="92">
        <f t="shared" si="0"/>
        <v>19.26073307984791</v>
      </c>
    </row>
    <row r="39" spans="1:5" ht="18" customHeight="1">
      <c r="A39" s="82" t="s">
        <v>117</v>
      </c>
      <c r="B39" s="83" t="s">
        <v>139</v>
      </c>
      <c r="C39" s="84">
        <f>SUM(C40:C42)</f>
        <v>33602.03</v>
      </c>
      <c r="D39" s="84">
        <f>SUM(D40:D42)</f>
        <v>2728.04316</v>
      </c>
      <c r="E39" s="93">
        <f t="shared" si="0"/>
        <v>8.118685567508868</v>
      </c>
    </row>
    <row r="40" spans="1:5" ht="18" customHeight="1">
      <c r="A40" s="46" t="s">
        <v>81</v>
      </c>
      <c r="B40" s="44" t="s">
        <v>118</v>
      </c>
      <c r="C40" s="45">
        <f>SUM('Таблица №8'!F246)</f>
        <v>31893.03</v>
      </c>
      <c r="D40" s="45">
        <f>SUM('Таблица №8'!G246)</f>
        <v>2405.41267</v>
      </c>
      <c r="E40" s="92">
        <f t="shared" si="0"/>
        <v>7.54212650851926</v>
      </c>
    </row>
    <row r="41" spans="1:5" ht="18" customHeight="1">
      <c r="A41" s="46" t="s">
        <v>82</v>
      </c>
      <c r="B41" s="44" t="s">
        <v>79</v>
      </c>
      <c r="C41" s="45">
        <f>SUM('Таблица №8'!F263)</f>
        <v>267</v>
      </c>
      <c r="D41" s="45">
        <f>SUM('Таблица №8'!G263)</f>
        <v>48.20158</v>
      </c>
      <c r="E41" s="92">
        <f t="shared" si="0"/>
        <v>18.053026217228467</v>
      </c>
    </row>
    <row r="42" spans="1:5" ht="21" customHeight="1">
      <c r="A42" s="46" t="s">
        <v>83</v>
      </c>
      <c r="B42" s="44" t="s">
        <v>80</v>
      </c>
      <c r="C42" s="45">
        <f>SUM('Таблица №8'!F265)</f>
        <v>1442</v>
      </c>
      <c r="D42" s="45">
        <f>SUM('Таблица №8'!G265)</f>
        <v>274.42891</v>
      </c>
      <c r="E42" s="92">
        <f t="shared" si="0"/>
        <v>19.031131067961162</v>
      </c>
    </row>
    <row r="43" spans="1:5" ht="18" customHeight="1">
      <c r="A43" s="82" t="s">
        <v>217</v>
      </c>
      <c r="B43" s="83" t="s">
        <v>216</v>
      </c>
      <c r="C43" s="84">
        <f>SUM(C44)</f>
        <v>12.5</v>
      </c>
      <c r="D43" s="84">
        <f>SUM(D44)</f>
        <v>12.5</v>
      </c>
      <c r="E43" s="93">
        <f t="shared" si="0"/>
        <v>100</v>
      </c>
    </row>
    <row r="44" spans="1:5" ht="15">
      <c r="A44" s="46" t="s">
        <v>219</v>
      </c>
      <c r="B44" s="44" t="s">
        <v>218</v>
      </c>
      <c r="C44" s="45">
        <f>SUM('Таблица №8'!F268)</f>
        <v>12.5</v>
      </c>
      <c r="D44" s="45">
        <f>SUM('Таблица №8'!G268)</f>
        <v>12.5</v>
      </c>
      <c r="E44" s="92">
        <f t="shared" si="0"/>
        <v>100</v>
      </c>
    </row>
    <row r="45" spans="1:5" ht="18" customHeight="1">
      <c r="A45" s="82">
        <v>1000</v>
      </c>
      <c r="B45" s="83" t="s">
        <v>84</v>
      </c>
      <c r="C45" s="84">
        <f>SUM(C46:C49)</f>
        <v>28140.6</v>
      </c>
      <c r="D45" s="84">
        <f>SUM(D46:D49)</f>
        <v>6909.92367</v>
      </c>
      <c r="E45" s="93">
        <f t="shared" si="0"/>
        <v>24.55499765463423</v>
      </c>
    </row>
    <row r="46" spans="1:5" ht="18" customHeight="1">
      <c r="A46" s="46">
        <v>1001</v>
      </c>
      <c r="B46" s="44" t="s">
        <v>85</v>
      </c>
      <c r="C46" s="45">
        <f>SUM('Таблица №8'!F273)</f>
        <v>4000</v>
      </c>
      <c r="D46" s="45">
        <f>SUM('Таблица №8'!G273)</f>
        <v>699.41798</v>
      </c>
      <c r="E46" s="92">
        <f t="shared" si="0"/>
        <v>17.4854495</v>
      </c>
    </row>
    <row r="47" spans="1:5" ht="18" customHeight="1">
      <c r="A47" s="46">
        <v>1003</v>
      </c>
      <c r="B47" s="44" t="s">
        <v>88</v>
      </c>
      <c r="C47" s="45">
        <f>SUM('Таблица №8'!F276)</f>
        <v>14287.257</v>
      </c>
      <c r="D47" s="45">
        <f>SUM('Таблица №8'!G276)</f>
        <v>4541.0528</v>
      </c>
      <c r="E47" s="92">
        <f t="shared" si="0"/>
        <v>31.783937252616095</v>
      </c>
    </row>
    <row r="48" spans="1:5" ht="18" customHeight="1">
      <c r="A48" s="46">
        <v>1004</v>
      </c>
      <c r="B48" s="44" t="s">
        <v>140</v>
      </c>
      <c r="C48" s="45">
        <f>SUM('Таблица №8'!F286)</f>
        <v>8774.9</v>
      </c>
      <c r="D48" s="45">
        <f>SUM('Таблица №8'!G286)</f>
        <v>1485.7</v>
      </c>
      <c r="E48" s="92">
        <f t="shared" si="0"/>
        <v>16.9312470797388</v>
      </c>
    </row>
    <row r="49" spans="1:5" ht="18" customHeight="1">
      <c r="A49" s="46" t="s">
        <v>230</v>
      </c>
      <c r="B49" s="44" t="s">
        <v>231</v>
      </c>
      <c r="C49" s="45">
        <f>SUM('Таблица №8'!F296)</f>
        <v>1078.443</v>
      </c>
      <c r="D49" s="45">
        <f>SUM('Таблица №8'!G296)</f>
        <v>183.75288999999998</v>
      </c>
      <c r="E49" s="92">
        <f t="shared" si="0"/>
        <v>17.038720637066586</v>
      </c>
    </row>
    <row r="50" spans="1:5" ht="17.25" customHeight="1">
      <c r="A50" s="82" t="s">
        <v>141</v>
      </c>
      <c r="B50" s="83" t="s">
        <v>92</v>
      </c>
      <c r="C50" s="84">
        <f>SUM(C51:C53)</f>
        <v>704.08164</v>
      </c>
      <c r="D50" s="84">
        <f>SUM(D51:D53)</f>
        <v>47.1258</v>
      </c>
      <c r="E50" s="93">
        <f t="shared" si="0"/>
        <v>6.693229495374996</v>
      </c>
    </row>
    <row r="51" spans="1:5" ht="18" customHeight="1" hidden="1">
      <c r="A51" s="46" t="s">
        <v>221</v>
      </c>
      <c r="B51" s="44" t="s">
        <v>294</v>
      </c>
      <c r="C51" s="45">
        <f>SUM('Приложение 3'!G303)</f>
        <v>0</v>
      </c>
      <c r="D51" s="45">
        <f>SUM('Приложение 3'!H303)</f>
        <v>0</v>
      </c>
      <c r="E51" s="92" t="e">
        <f t="shared" si="0"/>
        <v>#DIV/0!</v>
      </c>
    </row>
    <row r="52" spans="1:5" ht="15">
      <c r="A52" s="46" t="s">
        <v>287</v>
      </c>
      <c r="B52" s="44" t="s">
        <v>288</v>
      </c>
      <c r="C52" s="45">
        <f>SUM('Приложение 3'!G307)</f>
        <v>204.08164</v>
      </c>
      <c r="D52" s="45">
        <f>SUM('Приложение 3'!H307)</f>
        <v>0</v>
      </c>
      <c r="E52" s="92">
        <f t="shared" si="0"/>
        <v>0</v>
      </c>
    </row>
    <row r="53" spans="1:5" ht="26.25" customHeight="1">
      <c r="A53" s="46" t="s">
        <v>93</v>
      </c>
      <c r="B53" s="44" t="s">
        <v>222</v>
      </c>
      <c r="C53" s="45">
        <f>SUM('Таблица №8'!F310)</f>
        <v>500</v>
      </c>
      <c r="D53" s="45">
        <f>SUM('Таблица №8'!G310)</f>
        <v>47.1258</v>
      </c>
      <c r="E53" s="92">
        <f t="shared" si="0"/>
        <v>9.425159999999998</v>
      </c>
    </row>
    <row r="54" spans="1:5" ht="18" customHeight="1">
      <c r="A54" s="82" t="s">
        <v>142</v>
      </c>
      <c r="B54" s="83" t="s">
        <v>94</v>
      </c>
      <c r="C54" s="84">
        <f>SUM(C55:C56)</f>
        <v>2271.5</v>
      </c>
      <c r="D54" s="84">
        <f>SUM(D55:D56)</f>
        <v>605</v>
      </c>
      <c r="E54" s="93">
        <f t="shared" si="0"/>
        <v>26.634382566585955</v>
      </c>
    </row>
    <row r="55" spans="1:5" ht="18" customHeight="1" hidden="1">
      <c r="A55" s="46" t="s">
        <v>203</v>
      </c>
      <c r="B55" s="44" t="s">
        <v>202</v>
      </c>
      <c r="C55" s="45">
        <v>0</v>
      </c>
      <c r="D55" s="45">
        <v>0</v>
      </c>
      <c r="E55" s="92" t="e">
        <f t="shared" si="0"/>
        <v>#DIV/0!</v>
      </c>
    </row>
    <row r="56" spans="1:5" ht="18" customHeight="1">
      <c r="A56" s="46" t="s">
        <v>96</v>
      </c>
      <c r="B56" s="44" t="s">
        <v>95</v>
      </c>
      <c r="C56" s="45">
        <f>SUM('Приложение 3'!G315)</f>
        <v>2271.5</v>
      </c>
      <c r="D56" s="45">
        <f>SUM('Приложение 3'!H315)</f>
        <v>605</v>
      </c>
      <c r="E56" s="92">
        <f t="shared" si="0"/>
        <v>26.634382566585955</v>
      </c>
    </row>
    <row r="57" spans="1:5" ht="29.25" customHeight="1">
      <c r="A57" s="82" t="s">
        <v>143</v>
      </c>
      <c r="B57" s="83" t="s">
        <v>97</v>
      </c>
      <c r="C57" s="84">
        <f>SUM(C58:C58)</f>
        <v>0</v>
      </c>
      <c r="D57" s="84">
        <f>SUM(D58:D58)</f>
        <v>0</v>
      </c>
      <c r="E57" s="93">
        <v>0</v>
      </c>
    </row>
    <row r="58" spans="1:5" ht="31.5" customHeight="1" hidden="1">
      <c r="A58" s="82" t="s">
        <v>99</v>
      </c>
      <c r="B58" s="83" t="s">
        <v>98</v>
      </c>
      <c r="C58" s="84">
        <f>SUM('Таблица №8'!F318)</f>
        <v>0</v>
      </c>
      <c r="D58" s="84">
        <f>SUM('Таблица №8'!G318)</f>
        <v>0</v>
      </c>
      <c r="E58" s="92" t="e">
        <f t="shared" si="0"/>
        <v>#DIV/0!</v>
      </c>
    </row>
    <row r="59" spans="1:5" ht="43.5" customHeight="1">
      <c r="A59" s="82" t="s">
        <v>174</v>
      </c>
      <c r="B59" s="83" t="s">
        <v>173</v>
      </c>
      <c r="C59" s="84">
        <f>SUM(C60:C60)</f>
        <v>15643.5</v>
      </c>
      <c r="D59" s="84">
        <f>SUM(D60:D60)</f>
        <v>0</v>
      </c>
      <c r="E59" s="93">
        <f t="shared" si="0"/>
        <v>0</v>
      </c>
    </row>
    <row r="60" spans="1:5" ht="22.5" customHeight="1">
      <c r="A60" s="46" t="s">
        <v>176</v>
      </c>
      <c r="B60" s="44" t="s">
        <v>175</v>
      </c>
      <c r="C60" s="45">
        <f>SUM('Приложение 3'!G325)</f>
        <v>15643.5</v>
      </c>
      <c r="D60" s="45">
        <f>SUM('Приложение 3'!H325)</f>
        <v>0</v>
      </c>
      <c r="E60" s="92">
        <f t="shared" si="0"/>
        <v>0</v>
      </c>
    </row>
    <row r="61" spans="1:5" ht="21" customHeight="1">
      <c r="A61" s="85"/>
      <c r="B61" s="86" t="s">
        <v>144</v>
      </c>
      <c r="C61" s="84">
        <f>C9+C19+C21+C24+C28+C31+C33+C39+C45+C50+C54+C57+C59+C43</f>
        <v>562385.44158</v>
      </c>
      <c r="D61" s="84">
        <f>D9+D19+D21+D24+D28+D31+D33+D39+D45+D50+D54+D57+D59+D43</f>
        <v>77985.73172</v>
      </c>
      <c r="E61" s="93">
        <f t="shared" si="0"/>
        <v>13.866954219316582</v>
      </c>
    </row>
  </sheetData>
  <sheetProtection/>
  <mergeCells count="7">
    <mergeCell ref="C7:D7"/>
    <mergeCell ref="C1:E1"/>
    <mergeCell ref="C2:E2"/>
    <mergeCell ref="A6:E6"/>
    <mergeCell ref="B4:E4"/>
    <mergeCell ref="B5:E5"/>
    <mergeCell ref="B3:E3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27"/>
  <sheetViews>
    <sheetView showGridLines="0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M320" sqref="M320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4" customWidth="1"/>
    <col min="5" max="5" width="5.421875" style="29" customWidth="1"/>
    <col min="6" max="6" width="6.00390625" style="11" customWidth="1"/>
    <col min="7" max="7" width="15.421875" style="2" customWidth="1"/>
    <col min="8" max="8" width="15.7109375" style="2" customWidth="1"/>
    <col min="9" max="9" width="13.421875" style="2" customWidth="1"/>
    <col min="10" max="16384" width="9.140625" style="2" customWidth="1"/>
  </cols>
  <sheetData>
    <row r="1" spans="5:9" ht="18">
      <c r="E1" s="25"/>
      <c r="F1" s="22"/>
      <c r="G1" s="106" t="s">
        <v>341</v>
      </c>
      <c r="H1" s="106"/>
      <c r="I1" s="106"/>
    </row>
    <row r="2" spans="5:9" ht="18.75">
      <c r="E2" s="25"/>
      <c r="F2" s="23"/>
      <c r="G2" s="106" t="s">
        <v>342</v>
      </c>
      <c r="H2" s="106"/>
      <c r="I2" s="106"/>
    </row>
    <row r="3" spans="5:9" ht="18.75">
      <c r="E3" s="25"/>
      <c r="F3" s="23"/>
      <c r="G3" s="106" t="s">
        <v>343</v>
      </c>
      <c r="H3" s="106"/>
      <c r="I3" s="106"/>
    </row>
    <row r="4" spans="5:9" ht="18.75" customHeight="1">
      <c r="E4" s="23"/>
      <c r="F4" s="23"/>
      <c r="G4" s="106" t="s">
        <v>344</v>
      </c>
      <c r="H4" s="106"/>
      <c r="I4" s="106"/>
    </row>
    <row r="5" spans="1:9" ht="18.75">
      <c r="A5" s="8"/>
      <c r="B5" s="1"/>
      <c r="C5" s="1"/>
      <c r="D5" s="26"/>
      <c r="E5" s="111" t="s">
        <v>345</v>
      </c>
      <c r="F5" s="111"/>
      <c r="G5" s="111"/>
      <c r="H5" s="111"/>
      <c r="I5" s="111"/>
    </row>
    <row r="6" spans="1:9" ht="33.75" customHeight="1">
      <c r="A6" s="110" t="s">
        <v>346</v>
      </c>
      <c r="B6" s="110"/>
      <c r="C6" s="110"/>
      <c r="D6" s="110"/>
      <c r="E6" s="110"/>
      <c r="F6" s="110"/>
      <c r="G6" s="110"/>
      <c r="H6" s="110"/>
      <c r="I6" s="110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09"/>
      <c r="H8" s="109"/>
      <c r="I8" s="89" t="s">
        <v>303</v>
      </c>
    </row>
    <row r="9" spans="1:9" ht="91.5" customHeight="1">
      <c r="A9" s="94" t="s">
        <v>1</v>
      </c>
      <c r="B9" s="95" t="s">
        <v>183</v>
      </c>
      <c r="C9" s="96" t="s">
        <v>184</v>
      </c>
      <c r="D9" s="97" t="s">
        <v>227</v>
      </c>
      <c r="E9" s="78" t="s">
        <v>8</v>
      </c>
      <c r="F9" s="98" t="s">
        <v>158</v>
      </c>
      <c r="G9" s="99" t="s">
        <v>339</v>
      </c>
      <c r="H9" s="99" t="s">
        <v>340</v>
      </c>
      <c r="I9" s="99" t="s">
        <v>338</v>
      </c>
    </row>
    <row r="10" spans="1:9" ht="12.75" outlineLevel="1">
      <c r="A10" s="48" t="s">
        <v>26</v>
      </c>
      <c r="B10" s="67" t="s">
        <v>27</v>
      </c>
      <c r="C10" s="67"/>
      <c r="D10" s="67"/>
      <c r="E10" s="69" t="s">
        <v>0</v>
      </c>
      <c r="F10" s="68"/>
      <c r="G10" s="103">
        <f>SUM(G11)</f>
        <v>450</v>
      </c>
      <c r="H10" s="103">
        <f>SUM(H11)</f>
        <v>69.08759</v>
      </c>
      <c r="I10" s="103">
        <f aca="true" t="shared" si="0" ref="I10:I73">SUM(H10/G10)*100</f>
        <v>15.352797777777779</v>
      </c>
    </row>
    <row r="11" spans="1:9" ht="12.75" outlineLevel="1">
      <c r="A11" s="48" t="s">
        <v>101</v>
      </c>
      <c r="B11" s="67" t="s">
        <v>27</v>
      </c>
      <c r="C11" s="67" t="s">
        <v>41</v>
      </c>
      <c r="D11" s="67"/>
      <c r="E11" s="69"/>
      <c r="F11" s="68"/>
      <c r="G11" s="103">
        <f>SUM(G12)</f>
        <v>450</v>
      </c>
      <c r="H11" s="103">
        <f>SUM(H12)</f>
        <v>69.08759</v>
      </c>
      <c r="I11" s="103">
        <f t="shared" si="0"/>
        <v>15.352797777777779</v>
      </c>
    </row>
    <row r="12" spans="1:9" ht="38.25" customHeight="1" outlineLevel="2">
      <c r="A12" s="48" t="s">
        <v>25</v>
      </c>
      <c r="B12" s="67" t="s">
        <v>27</v>
      </c>
      <c r="C12" s="67" t="s">
        <v>28</v>
      </c>
      <c r="D12" s="67"/>
      <c r="E12" s="69"/>
      <c r="F12" s="68"/>
      <c r="G12" s="103">
        <f>SUM(G13+G16)</f>
        <v>450</v>
      </c>
      <c r="H12" s="103">
        <f>SUM(H13+H16)</f>
        <v>69.08759</v>
      </c>
      <c r="I12" s="103">
        <f t="shared" si="0"/>
        <v>15.352797777777779</v>
      </c>
    </row>
    <row r="13" spans="1:9" ht="23.25" customHeight="1" outlineLevel="2">
      <c r="A13" s="48" t="s">
        <v>104</v>
      </c>
      <c r="B13" s="67" t="s">
        <v>27</v>
      </c>
      <c r="C13" s="67" t="s">
        <v>28</v>
      </c>
      <c r="D13" s="67" t="s">
        <v>11</v>
      </c>
      <c r="E13" s="69" t="s">
        <v>9</v>
      </c>
      <c r="F13" s="68"/>
      <c r="G13" s="103">
        <f>SUM(G14:G15)</f>
        <v>450</v>
      </c>
      <c r="H13" s="103">
        <f>SUM(H14:H15)</f>
        <v>69.08759</v>
      </c>
      <c r="I13" s="103">
        <f t="shared" si="0"/>
        <v>15.352797777777779</v>
      </c>
    </row>
    <row r="14" spans="1:9" ht="51" customHeight="1" outlineLevel="2">
      <c r="A14" s="48" t="s">
        <v>102</v>
      </c>
      <c r="B14" s="67" t="s">
        <v>27</v>
      </c>
      <c r="C14" s="67" t="s">
        <v>28</v>
      </c>
      <c r="D14" s="67" t="s">
        <v>11</v>
      </c>
      <c r="E14" s="69" t="s">
        <v>9</v>
      </c>
      <c r="F14" s="68">
        <v>100</v>
      </c>
      <c r="G14" s="103">
        <f>373.4+16.6</f>
        <v>390</v>
      </c>
      <c r="H14" s="103">
        <v>66.08759</v>
      </c>
      <c r="I14" s="103">
        <f t="shared" si="0"/>
        <v>16.9455358974359</v>
      </c>
    </row>
    <row r="15" spans="1:9" s="4" customFormat="1" ht="24" outlineLevel="3">
      <c r="A15" s="48" t="s">
        <v>103</v>
      </c>
      <c r="B15" s="67" t="s">
        <v>27</v>
      </c>
      <c r="C15" s="67" t="s">
        <v>28</v>
      </c>
      <c r="D15" s="67" t="s">
        <v>11</v>
      </c>
      <c r="E15" s="69">
        <v>0</v>
      </c>
      <c r="F15" s="68">
        <v>200</v>
      </c>
      <c r="G15" s="103">
        <f>57.5+10.4-7.9</f>
        <v>60.00000000000001</v>
      </c>
      <c r="H15" s="103">
        <v>3</v>
      </c>
      <c r="I15" s="103">
        <f t="shared" si="0"/>
        <v>5</v>
      </c>
    </row>
    <row r="16" spans="1:9" s="4" customFormat="1" ht="25.5" customHeight="1" hidden="1" outlineLevel="3">
      <c r="A16" s="48" t="s">
        <v>159</v>
      </c>
      <c r="B16" s="67" t="s">
        <v>27</v>
      </c>
      <c r="C16" s="67" t="s">
        <v>28</v>
      </c>
      <c r="D16" s="67" t="s">
        <v>16</v>
      </c>
      <c r="E16" s="69">
        <v>0</v>
      </c>
      <c r="F16" s="68"/>
      <c r="G16" s="91">
        <f>SUM(G17)</f>
        <v>0</v>
      </c>
      <c r="H16" s="91">
        <f>SUM(H17)</f>
        <v>0</v>
      </c>
      <c r="I16" s="103" t="e">
        <f t="shared" si="0"/>
        <v>#DIV/0!</v>
      </c>
    </row>
    <row r="17" spans="1:9" s="4" customFormat="1" ht="12.75" hidden="1" outlineLevel="3">
      <c r="A17" s="48" t="s">
        <v>148</v>
      </c>
      <c r="B17" s="67" t="s">
        <v>27</v>
      </c>
      <c r="C17" s="67" t="s">
        <v>28</v>
      </c>
      <c r="D17" s="67" t="s">
        <v>16</v>
      </c>
      <c r="E17" s="69">
        <v>0</v>
      </c>
      <c r="F17" s="68">
        <v>800</v>
      </c>
      <c r="G17" s="103">
        <f>0.05+0.05-0.1</f>
        <v>0</v>
      </c>
      <c r="H17" s="103">
        <f>0.05+0.05-0.1</f>
        <v>0</v>
      </c>
      <c r="I17" s="103" t="e">
        <f t="shared" si="0"/>
        <v>#DIV/0!</v>
      </c>
    </row>
    <row r="18" spans="1:9" s="4" customFormat="1" ht="24" customHeight="1" outlineLevel="3">
      <c r="A18" s="48" t="s">
        <v>308</v>
      </c>
      <c r="B18" s="67" t="s">
        <v>30</v>
      </c>
      <c r="C18" s="67"/>
      <c r="D18" s="67"/>
      <c r="E18" s="69"/>
      <c r="F18" s="68"/>
      <c r="G18" s="103">
        <f>SUM(G19)</f>
        <v>1330.6</v>
      </c>
      <c r="H18" s="103">
        <f>SUM(H19)</f>
        <v>220.9654</v>
      </c>
      <c r="I18" s="103">
        <f t="shared" si="0"/>
        <v>16.60644821884864</v>
      </c>
    </row>
    <row r="19" spans="1:9" s="4" customFormat="1" ht="12.75" outlineLevel="3">
      <c r="A19" s="48" t="s">
        <v>101</v>
      </c>
      <c r="B19" s="67" t="s">
        <v>30</v>
      </c>
      <c r="C19" s="67" t="s">
        <v>41</v>
      </c>
      <c r="D19" s="80"/>
      <c r="E19" s="77"/>
      <c r="F19" s="79"/>
      <c r="G19" s="103">
        <f>SUM(G20)</f>
        <v>1330.6</v>
      </c>
      <c r="H19" s="103">
        <f>SUM(H20)</f>
        <v>220.9654</v>
      </c>
      <c r="I19" s="103">
        <f t="shared" si="0"/>
        <v>16.60644821884864</v>
      </c>
    </row>
    <row r="20" spans="1:9" s="4" customFormat="1" ht="29.25" customHeight="1" outlineLevel="3">
      <c r="A20" s="48" t="s">
        <v>32</v>
      </c>
      <c r="B20" s="67" t="s">
        <v>30</v>
      </c>
      <c r="C20" s="67" t="s">
        <v>31</v>
      </c>
      <c r="D20" s="67"/>
      <c r="E20" s="69"/>
      <c r="F20" s="68"/>
      <c r="G20" s="103">
        <f>SUM(G21+G24)</f>
        <v>1330.6</v>
      </c>
      <c r="H20" s="103">
        <f>SUM(H21+H24)</f>
        <v>220.9654</v>
      </c>
      <c r="I20" s="103">
        <f t="shared" si="0"/>
        <v>16.60644821884864</v>
      </c>
    </row>
    <row r="21" spans="1:9" s="4" customFormat="1" ht="29.25" customHeight="1" outlineLevel="3">
      <c r="A21" s="48" t="s">
        <v>104</v>
      </c>
      <c r="B21" s="67" t="s">
        <v>30</v>
      </c>
      <c r="C21" s="67" t="s">
        <v>31</v>
      </c>
      <c r="D21" s="67" t="s">
        <v>11</v>
      </c>
      <c r="E21" s="69" t="s">
        <v>9</v>
      </c>
      <c r="F21" s="68"/>
      <c r="G21" s="103">
        <f>SUM(G22:G23)</f>
        <v>1325.1</v>
      </c>
      <c r="H21" s="103">
        <f>SUM(H22:H23)</f>
        <v>220.9654</v>
      </c>
      <c r="I21" s="103">
        <f t="shared" si="0"/>
        <v>16.675375443362768</v>
      </c>
    </row>
    <row r="22" spans="1:9" s="4" customFormat="1" ht="45" customHeight="1" outlineLevel="3">
      <c r="A22" s="48" t="s">
        <v>102</v>
      </c>
      <c r="B22" s="67" t="s">
        <v>30</v>
      </c>
      <c r="C22" s="67" t="s">
        <v>31</v>
      </c>
      <c r="D22" s="67" t="s">
        <v>11</v>
      </c>
      <c r="E22" s="69" t="s">
        <v>9</v>
      </c>
      <c r="F22" s="68">
        <v>100</v>
      </c>
      <c r="G22" s="103">
        <f>1460.8-41-100+25.3-40</f>
        <v>1305.1</v>
      </c>
      <c r="H22" s="103">
        <v>220.9654</v>
      </c>
      <c r="I22" s="103">
        <f t="shared" si="0"/>
        <v>16.930917171098</v>
      </c>
    </row>
    <row r="23" spans="1:9" s="4" customFormat="1" ht="24" outlineLevel="3">
      <c r="A23" s="48" t="s">
        <v>103</v>
      </c>
      <c r="B23" s="67" t="s">
        <v>30</v>
      </c>
      <c r="C23" s="67" t="s">
        <v>31</v>
      </c>
      <c r="D23" s="67" t="s">
        <v>11</v>
      </c>
      <c r="E23" s="69">
        <v>0</v>
      </c>
      <c r="F23" s="68">
        <v>200</v>
      </c>
      <c r="G23" s="103">
        <f>24.7+24.7-29.4</f>
        <v>20</v>
      </c>
      <c r="H23" s="103">
        <v>0</v>
      </c>
      <c r="I23" s="103">
        <f t="shared" si="0"/>
        <v>0</v>
      </c>
    </row>
    <row r="24" spans="1:9" s="4" customFormat="1" ht="24.75" customHeight="1" outlineLevel="3">
      <c r="A24" s="48" t="s">
        <v>159</v>
      </c>
      <c r="B24" s="67" t="s">
        <v>30</v>
      </c>
      <c r="C24" s="67" t="s">
        <v>31</v>
      </c>
      <c r="D24" s="67" t="s">
        <v>16</v>
      </c>
      <c r="E24" s="69">
        <v>0</v>
      </c>
      <c r="F24" s="68"/>
      <c r="G24" s="91">
        <f>SUM(G25)</f>
        <v>5.5</v>
      </c>
      <c r="H24" s="91">
        <f>SUM(H25)</f>
        <v>0</v>
      </c>
      <c r="I24" s="103">
        <f t="shared" si="0"/>
        <v>0</v>
      </c>
    </row>
    <row r="25" spans="1:9" s="4" customFormat="1" ht="12.75" outlineLevel="3">
      <c r="A25" s="48" t="s">
        <v>148</v>
      </c>
      <c r="B25" s="67" t="s">
        <v>30</v>
      </c>
      <c r="C25" s="67" t="s">
        <v>31</v>
      </c>
      <c r="D25" s="67" t="s">
        <v>16</v>
      </c>
      <c r="E25" s="69">
        <v>0</v>
      </c>
      <c r="F25" s="68">
        <v>800</v>
      </c>
      <c r="G25" s="103">
        <f>5.5</f>
        <v>5.5</v>
      </c>
      <c r="H25" s="103">
        <v>0</v>
      </c>
      <c r="I25" s="103">
        <f t="shared" si="0"/>
        <v>0</v>
      </c>
    </row>
    <row r="26" spans="1:9" s="4" customFormat="1" ht="17.25" customHeight="1" outlineLevel="3">
      <c r="A26" s="48" t="s">
        <v>247</v>
      </c>
      <c r="B26" s="67" t="s">
        <v>39</v>
      </c>
      <c r="C26" s="67"/>
      <c r="D26" s="67"/>
      <c r="E26" s="69"/>
      <c r="F26" s="68"/>
      <c r="G26" s="103">
        <f>SUM(G27+G97+G102+G109+G132+G149+G153+G246+G273+G302+G314+G319+G323+G268)</f>
        <v>560604.84158</v>
      </c>
      <c r="H26" s="103">
        <f>SUM(H27+H97+H102+H109+H132+H149+H153+H246+H273+H302+H314+H319+H323+H268)</f>
        <v>77695.67873</v>
      </c>
      <c r="I26" s="103">
        <f t="shared" si="0"/>
        <v>13.859259315532077</v>
      </c>
    </row>
    <row r="27" spans="1:9" s="4" customFormat="1" ht="12.75" outlineLevel="3">
      <c r="A27" s="48" t="s">
        <v>101</v>
      </c>
      <c r="B27" s="67" t="s">
        <v>39</v>
      </c>
      <c r="C27" s="67" t="s">
        <v>41</v>
      </c>
      <c r="D27" s="67"/>
      <c r="E27" s="69"/>
      <c r="F27" s="68"/>
      <c r="G27" s="103">
        <f>SUM(G28+G31+G55+G59+G62+G51)</f>
        <v>60819.028790000004</v>
      </c>
      <c r="H27" s="103">
        <f>SUM(H28+H31+H55+H59+H62+H51)</f>
        <v>14604.392999999998</v>
      </c>
      <c r="I27" s="103">
        <f t="shared" si="0"/>
        <v>24.012867831919873</v>
      </c>
    </row>
    <row r="28" spans="1:9" s="4" customFormat="1" ht="24" outlineLevel="3">
      <c r="A28" s="48" t="s">
        <v>33</v>
      </c>
      <c r="B28" s="67" t="s">
        <v>39</v>
      </c>
      <c r="C28" s="67" t="s">
        <v>42</v>
      </c>
      <c r="D28" s="67"/>
      <c r="E28" s="69"/>
      <c r="F28" s="68"/>
      <c r="G28" s="103">
        <f>SUM(G30)</f>
        <v>1710</v>
      </c>
      <c r="H28" s="103">
        <f>SUM(H30)</f>
        <v>290.41642</v>
      </c>
      <c r="I28" s="103">
        <f t="shared" si="0"/>
        <v>16.983416374269005</v>
      </c>
    </row>
    <row r="29" spans="1:9" s="4" customFormat="1" ht="27.75" customHeight="1" outlineLevel="3">
      <c r="A29" s="48" t="s">
        <v>104</v>
      </c>
      <c r="B29" s="67" t="s">
        <v>39</v>
      </c>
      <c r="C29" s="67" t="s">
        <v>42</v>
      </c>
      <c r="D29" s="67" t="s">
        <v>11</v>
      </c>
      <c r="E29" s="69" t="s">
        <v>9</v>
      </c>
      <c r="F29" s="68"/>
      <c r="G29" s="103">
        <f>SUM(G30)</f>
        <v>1710</v>
      </c>
      <c r="H29" s="103">
        <f>SUM(H30)</f>
        <v>290.41642</v>
      </c>
      <c r="I29" s="103">
        <f t="shared" si="0"/>
        <v>16.983416374269005</v>
      </c>
    </row>
    <row r="30" spans="1:9" ht="48.75" customHeight="1" outlineLevel="1">
      <c r="A30" s="48" t="s">
        <v>102</v>
      </c>
      <c r="B30" s="67" t="s">
        <v>39</v>
      </c>
      <c r="C30" s="67" t="s">
        <v>42</v>
      </c>
      <c r="D30" s="67" t="s">
        <v>11</v>
      </c>
      <c r="E30" s="69">
        <v>0</v>
      </c>
      <c r="F30" s="68">
        <v>100</v>
      </c>
      <c r="G30" s="103">
        <f>1367.1+100+242.9</f>
        <v>1710</v>
      </c>
      <c r="H30" s="103">
        <v>290.41642</v>
      </c>
      <c r="I30" s="103">
        <f t="shared" si="0"/>
        <v>16.983416374269005</v>
      </c>
    </row>
    <row r="31" spans="1:9" ht="36.75" customHeight="1" outlineLevel="2">
      <c r="A31" s="49" t="s">
        <v>34</v>
      </c>
      <c r="B31" s="67" t="s">
        <v>39</v>
      </c>
      <c r="C31" s="67" t="s">
        <v>40</v>
      </c>
      <c r="D31" s="67"/>
      <c r="E31" s="69"/>
      <c r="F31" s="68"/>
      <c r="G31" s="103">
        <f>SUM(G32+G49)</f>
        <v>29631.3</v>
      </c>
      <c r="H31" s="103">
        <f>SUM(H32+H49)</f>
        <v>5351.10686</v>
      </c>
      <c r="I31" s="103">
        <f t="shared" si="0"/>
        <v>18.05896757820278</v>
      </c>
    </row>
    <row r="32" spans="1:9" s="4" customFormat="1" ht="27" customHeight="1" outlineLevel="3">
      <c r="A32" s="48" t="s">
        <v>104</v>
      </c>
      <c r="B32" s="67" t="s">
        <v>39</v>
      </c>
      <c r="C32" s="67" t="s">
        <v>40</v>
      </c>
      <c r="D32" s="67" t="s">
        <v>11</v>
      </c>
      <c r="E32" s="69">
        <v>0</v>
      </c>
      <c r="F32" s="68"/>
      <c r="G32" s="103">
        <f>SUM(G33+G36)</f>
        <v>29581.3</v>
      </c>
      <c r="H32" s="103">
        <f>SUM(H33+H36)</f>
        <v>5341.17818</v>
      </c>
      <c r="I32" s="103">
        <f t="shared" si="0"/>
        <v>18.055927832786253</v>
      </c>
    </row>
    <row r="33" spans="1:9" ht="12.75" outlineLevel="1">
      <c r="A33" s="49" t="s">
        <v>3</v>
      </c>
      <c r="B33" s="67" t="s">
        <v>39</v>
      </c>
      <c r="C33" s="67" t="s">
        <v>40</v>
      </c>
      <c r="D33" s="67" t="s">
        <v>11</v>
      </c>
      <c r="E33" s="69">
        <v>0</v>
      </c>
      <c r="F33" s="68"/>
      <c r="G33" s="103">
        <f>SUM(G34:G35)</f>
        <v>27839.899999999998</v>
      </c>
      <c r="H33" s="103">
        <f>SUM(H34:H35)</f>
        <v>4978.94014</v>
      </c>
      <c r="I33" s="103">
        <f t="shared" si="0"/>
        <v>17.884188305274083</v>
      </c>
    </row>
    <row r="34" spans="1:9" ht="49.5" customHeight="1" outlineLevel="2">
      <c r="A34" s="49" t="s">
        <v>102</v>
      </c>
      <c r="B34" s="67" t="s">
        <v>39</v>
      </c>
      <c r="C34" s="67" t="s">
        <v>40</v>
      </c>
      <c r="D34" s="67" t="s">
        <v>11</v>
      </c>
      <c r="E34" s="69">
        <v>0</v>
      </c>
      <c r="F34" s="68">
        <v>100</v>
      </c>
      <c r="G34" s="103">
        <f>24910+418-30-242.9-14.8+40+559.6+200</f>
        <v>25839.899999999998</v>
      </c>
      <c r="H34" s="103">
        <v>4750.66731</v>
      </c>
      <c r="I34" s="103">
        <f t="shared" si="0"/>
        <v>18.38500655962291</v>
      </c>
    </row>
    <row r="35" spans="1:9" ht="24">
      <c r="A35" s="49" t="s">
        <v>103</v>
      </c>
      <c r="B35" s="67" t="s">
        <v>39</v>
      </c>
      <c r="C35" s="67" t="s">
        <v>40</v>
      </c>
      <c r="D35" s="67" t="s">
        <v>11</v>
      </c>
      <c r="E35" s="69">
        <v>0</v>
      </c>
      <c r="F35" s="68">
        <v>200</v>
      </c>
      <c r="G35" s="103">
        <f>1540.9-10+25+1166.3-200+7.9+29.4+0.1-559.6</f>
        <v>2000</v>
      </c>
      <c r="H35" s="103">
        <v>228.27283</v>
      </c>
      <c r="I35" s="103">
        <f t="shared" si="0"/>
        <v>11.4136415</v>
      </c>
    </row>
    <row r="36" spans="1:9" ht="23.25" customHeight="1" outlineLevel="2">
      <c r="A36" s="48" t="s">
        <v>104</v>
      </c>
      <c r="B36" s="67" t="s">
        <v>39</v>
      </c>
      <c r="C36" s="67" t="s">
        <v>40</v>
      </c>
      <c r="D36" s="67" t="s">
        <v>11</v>
      </c>
      <c r="E36" s="69" t="s">
        <v>9</v>
      </c>
      <c r="F36" s="68"/>
      <c r="G36" s="104">
        <f>SUM(G37+G40+G43+G46)</f>
        <v>1741.3999999999999</v>
      </c>
      <c r="H36" s="104">
        <f>SUM(H37+H40+H43+H46)</f>
        <v>362.23804</v>
      </c>
      <c r="I36" s="103">
        <f t="shared" si="0"/>
        <v>20.801541288618356</v>
      </c>
    </row>
    <row r="37" spans="1:9" ht="31.5" customHeight="1" outlineLevel="1">
      <c r="A37" s="48" t="s">
        <v>105</v>
      </c>
      <c r="B37" s="67" t="s">
        <v>39</v>
      </c>
      <c r="C37" s="67" t="s">
        <v>40</v>
      </c>
      <c r="D37" s="67" t="s">
        <v>11</v>
      </c>
      <c r="E37" s="69" t="s">
        <v>9</v>
      </c>
      <c r="F37" s="68"/>
      <c r="G37" s="103">
        <f>SUM(G38:G39)</f>
        <v>296.7</v>
      </c>
      <c r="H37" s="103">
        <f>SUM(H38:H39)</f>
        <v>62.69641</v>
      </c>
      <c r="I37" s="103">
        <f t="shared" si="0"/>
        <v>21.13124705089316</v>
      </c>
    </row>
    <row r="38" spans="1:9" ht="42" customHeight="1" outlineLevel="5">
      <c r="A38" s="48" t="s">
        <v>102</v>
      </c>
      <c r="B38" s="67" t="s">
        <v>39</v>
      </c>
      <c r="C38" s="67" t="s">
        <v>40</v>
      </c>
      <c r="D38" s="67" t="s">
        <v>11</v>
      </c>
      <c r="E38" s="69" t="s">
        <v>9</v>
      </c>
      <c r="F38" s="68">
        <v>100</v>
      </c>
      <c r="G38" s="104">
        <f>297.3-0.3+11-11-0.3</f>
        <v>296.7</v>
      </c>
      <c r="H38" s="104">
        <v>62.69641</v>
      </c>
      <c r="I38" s="103">
        <f t="shared" si="0"/>
        <v>21.13124705089316</v>
      </c>
    </row>
    <row r="39" spans="1:9" ht="24" hidden="1" outlineLevel="5">
      <c r="A39" s="48" t="s">
        <v>103</v>
      </c>
      <c r="B39" s="67" t="s">
        <v>39</v>
      </c>
      <c r="C39" s="67" t="s">
        <v>40</v>
      </c>
      <c r="D39" s="67" t="s">
        <v>11</v>
      </c>
      <c r="E39" s="69" t="s">
        <v>9</v>
      </c>
      <c r="F39" s="68">
        <v>200</v>
      </c>
      <c r="G39" s="104">
        <f>81.8-81.8</f>
        <v>0</v>
      </c>
      <c r="H39" s="104">
        <f>81.8-81.8</f>
        <v>0</v>
      </c>
      <c r="I39" s="103" t="e">
        <f t="shared" si="0"/>
        <v>#DIV/0!</v>
      </c>
    </row>
    <row r="40" spans="1:9" ht="27" customHeight="1" outlineLevel="5">
      <c r="A40" s="48" t="s">
        <v>106</v>
      </c>
      <c r="B40" s="67" t="s">
        <v>39</v>
      </c>
      <c r="C40" s="67" t="s">
        <v>40</v>
      </c>
      <c r="D40" s="67" t="s">
        <v>11</v>
      </c>
      <c r="E40" s="69" t="s">
        <v>9</v>
      </c>
      <c r="F40" s="68"/>
      <c r="G40" s="103">
        <f>SUM(G41:G42)</f>
        <v>666.9</v>
      </c>
      <c r="H40" s="103">
        <f>SUM(H41:H42)</f>
        <v>166.725</v>
      </c>
      <c r="I40" s="103">
        <f t="shared" si="0"/>
        <v>25</v>
      </c>
    </row>
    <row r="41" spans="1:9" ht="47.25" customHeight="1" outlineLevel="2">
      <c r="A41" s="48" t="s">
        <v>102</v>
      </c>
      <c r="B41" s="67" t="s">
        <v>39</v>
      </c>
      <c r="C41" s="67" t="s">
        <v>40</v>
      </c>
      <c r="D41" s="67" t="s">
        <v>11</v>
      </c>
      <c r="E41" s="69" t="s">
        <v>9</v>
      </c>
      <c r="F41" s="68">
        <v>100</v>
      </c>
      <c r="G41" s="103">
        <f>700+75-108.1-15</f>
        <v>651.9</v>
      </c>
      <c r="H41" s="103">
        <v>166.30641</v>
      </c>
      <c r="I41" s="103">
        <f t="shared" si="0"/>
        <v>25.51103083294984</v>
      </c>
    </row>
    <row r="42" spans="1:9" ht="24" outlineLevel="4">
      <c r="A42" s="48" t="s">
        <v>103</v>
      </c>
      <c r="B42" s="67" t="s">
        <v>39</v>
      </c>
      <c r="C42" s="67" t="s">
        <v>40</v>
      </c>
      <c r="D42" s="67" t="s">
        <v>11</v>
      </c>
      <c r="E42" s="69" t="s">
        <v>9</v>
      </c>
      <c r="F42" s="68">
        <v>200</v>
      </c>
      <c r="G42" s="103">
        <f>303-28-75-200+15</f>
        <v>15</v>
      </c>
      <c r="H42" s="103">
        <v>0.41859</v>
      </c>
      <c r="I42" s="103">
        <f t="shared" si="0"/>
        <v>2.7906</v>
      </c>
    </row>
    <row r="43" spans="1:9" s="16" customFormat="1" ht="33.75" customHeight="1" outlineLevel="5">
      <c r="A43" s="48" t="s">
        <v>232</v>
      </c>
      <c r="B43" s="67" t="s">
        <v>39</v>
      </c>
      <c r="C43" s="67" t="s">
        <v>40</v>
      </c>
      <c r="D43" s="67" t="s">
        <v>11</v>
      </c>
      <c r="E43" s="69" t="s">
        <v>9</v>
      </c>
      <c r="F43" s="68"/>
      <c r="G43" s="103">
        <f>SUM(G44:G45)</f>
        <v>315.8</v>
      </c>
      <c r="H43" s="103">
        <f>SUM(H44:H45)</f>
        <v>77.03203</v>
      </c>
      <c r="I43" s="103">
        <f t="shared" si="0"/>
        <v>24.392663077897407</v>
      </c>
    </row>
    <row r="44" spans="1:9" ht="45" customHeight="1" outlineLevel="5">
      <c r="A44" s="48" t="s">
        <v>102</v>
      </c>
      <c r="B44" s="67" t="s">
        <v>39</v>
      </c>
      <c r="C44" s="67" t="s">
        <v>40</v>
      </c>
      <c r="D44" s="67" t="s">
        <v>11</v>
      </c>
      <c r="E44" s="69" t="s">
        <v>9</v>
      </c>
      <c r="F44" s="68">
        <v>100</v>
      </c>
      <c r="G44" s="104">
        <f>159+158.5-0.5-1.2</f>
        <v>315.8</v>
      </c>
      <c r="H44" s="104">
        <v>77.03203</v>
      </c>
      <c r="I44" s="103">
        <f t="shared" si="0"/>
        <v>24.392663077897407</v>
      </c>
    </row>
    <row r="45" spans="1:9" ht="24" hidden="1" outlineLevel="4">
      <c r="A45" s="48" t="s">
        <v>103</v>
      </c>
      <c r="B45" s="67" t="s">
        <v>39</v>
      </c>
      <c r="C45" s="67" t="s">
        <v>40</v>
      </c>
      <c r="D45" s="67" t="s">
        <v>11</v>
      </c>
      <c r="E45" s="69" t="s">
        <v>9</v>
      </c>
      <c r="F45" s="68">
        <v>200</v>
      </c>
      <c r="G45" s="104">
        <v>0</v>
      </c>
      <c r="H45" s="104">
        <v>0</v>
      </c>
      <c r="I45" s="103" t="e">
        <f t="shared" si="0"/>
        <v>#DIV/0!</v>
      </c>
    </row>
    <row r="46" spans="1:9" ht="39" customHeight="1" outlineLevel="5">
      <c r="A46" s="48" t="s">
        <v>240</v>
      </c>
      <c r="B46" s="67" t="s">
        <v>39</v>
      </c>
      <c r="C46" s="67" t="s">
        <v>40</v>
      </c>
      <c r="D46" s="67" t="s">
        <v>11</v>
      </c>
      <c r="E46" s="69" t="s">
        <v>9</v>
      </c>
      <c r="F46" s="68"/>
      <c r="G46" s="103">
        <f>SUM(G47:G48)</f>
        <v>461.99999999999994</v>
      </c>
      <c r="H46" s="103">
        <f>SUM(H47:H48)</f>
        <v>55.7846</v>
      </c>
      <c r="I46" s="103">
        <f t="shared" si="0"/>
        <v>12.074588744588747</v>
      </c>
    </row>
    <row r="47" spans="1:9" ht="48" outlineLevel="5">
      <c r="A47" s="48" t="s">
        <v>102</v>
      </c>
      <c r="B47" s="67" t="s">
        <v>39</v>
      </c>
      <c r="C47" s="67" t="s">
        <v>40</v>
      </c>
      <c r="D47" s="67" t="s">
        <v>11</v>
      </c>
      <c r="E47" s="69" t="s">
        <v>9</v>
      </c>
      <c r="F47" s="68">
        <v>100</v>
      </c>
      <c r="G47" s="103">
        <f>53.174</f>
        <v>53.174</v>
      </c>
      <c r="H47" s="103">
        <v>16.336</v>
      </c>
      <c r="I47" s="103">
        <f t="shared" si="0"/>
        <v>30.721781321698572</v>
      </c>
    </row>
    <row r="48" spans="1:9" ht="24" outlineLevel="5">
      <c r="A48" s="48" t="s">
        <v>103</v>
      </c>
      <c r="B48" s="67" t="s">
        <v>39</v>
      </c>
      <c r="C48" s="67" t="s">
        <v>40</v>
      </c>
      <c r="D48" s="67" t="s">
        <v>11</v>
      </c>
      <c r="E48" s="69" t="s">
        <v>9</v>
      </c>
      <c r="F48" s="68">
        <v>200</v>
      </c>
      <c r="G48" s="103">
        <f>439.8+0.9-31.874</f>
        <v>408.82599999999996</v>
      </c>
      <c r="H48" s="103">
        <v>39.4486</v>
      </c>
      <c r="I48" s="103">
        <f t="shared" si="0"/>
        <v>9.649239529775503</v>
      </c>
    </row>
    <row r="49" spans="1:9" ht="36" outlineLevel="2">
      <c r="A49" s="48" t="s">
        <v>257</v>
      </c>
      <c r="B49" s="67" t="s">
        <v>39</v>
      </c>
      <c r="C49" s="67" t="s">
        <v>40</v>
      </c>
      <c r="D49" s="67" t="s">
        <v>2</v>
      </c>
      <c r="E49" s="69">
        <v>0</v>
      </c>
      <c r="F49" s="68"/>
      <c r="G49" s="103">
        <f>SUM(G50)</f>
        <v>50</v>
      </c>
      <c r="H49" s="103">
        <f>SUM(H50)</f>
        <v>9.92868</v>
      </c>
      <c r="I49" s="103">
        <f t="shared" si="0"/>
        <v>19.85736</v>
      </c>
    </row>
    <row r="50" spans="1:9" ht="24" outlineLevel="2">
      <c r="A50" s="48" t="s">
        <v>103</v>
      </c>
      <c r="B50" s="67" t="s">
        <v>39</v>
      </c>
      <c r="C50" s="67" t="s">
        <v>40</v>
      </c>
      <c r="D50" s="67" t="s">
        <v>2</v>
      </c>
      <c r="E50" s="69">
        <v>0</v>
      </c>
      <c r="F50" s="68">
        <v>200</v>
      </c>
      <c r="G50" s="103">
        <f>50</f>
        <v>50</v>
      </c>
      <c r="H50" s="103">
        <v>9.92868</v>
      </c>
      <c r="I50" s="103">
        <f t="shared" si="0"/>
        <v>19.85736</v>
      </c>
    </row>
    <row r="51" spans="1:9" ht="12.75" outlineLevel="2">
      <c r="A51" s="48" t="s">
        <v>35</v>
      </c>
      <c r="B51" s="67" t="s">
        <v>39</v>
      </c>
      <c r="C51" s="67" t="s">
        <v>43</v>
      </c>
      <c r="D51" s="67"/>
      <c r="E51" s="69"/>
      <c r="F51" s="68"/>
      <c r="G51" s="103">
        <f aca="true" t="shared" si="1" ref="G51:H53">SUM(G52)</f>
        <v>3.4</v>
      </c>
      <c r="H51" s="103">
        <f t="shared" si="1"/>
        <v>0</v>
      </c>
      <c r="I51" s="103">
        <f t="shared" si="0"/>
        <v>0</v>
      </c>
    </row>
    <row r="52" spans="1:9" ht="24" outlineLevel="2">
      <c r="A52" s="48" t="s">
        <v>204</v>
      </c>
      <c r="B52" s="67" t="s">
        <v>39</v>
      </c>
      <c r="C52" s="67" t="s">
        <v>43</v>
      </c>
      <c r="D52" s="67" t="s">
        <v>16</v>
      </c>
      <c r="E52" s="69">
        <v>0</v>
      </c>
      <c r="F52" s="68"/>
      <c r="G52" s="103">
        <f t="shared" si="1"/>
        <v>3.4</v>
      </c>
      <c r="H52" s="103">
        <f t="shared" si="1"/>
        <v>0</v>
      </c>
      <c r="I52" s="103">
        <f t="shared" si="0"/>
        <v>0</v>
      </c>
    </row>
    <row r="53" spans="1:9" ht="24" outlineLevel="2">
      <c r="A53" s="48" t="s">
        <v>159</v>
      </c>
      <c r="B53" s="67" t="s">
        <v>39</v>
      </c>
      <c r="C53" s="67" t="s">
        <v>43</v>
      </c>
      <c r="D53" s="67" t="s">
        <v>16</v>
      </c>
      <c r="E53" s="69">
        <v>0</v>
      </c>
      <c r="F53" s="68"/>
      <c r="G53" s="103">
        <f t="shared" si="1"/>
        <v>3.4</v>
      </c>
      <c r="H53" s="103">
        <f t="shared" si="1"/>
        <v>0</v>
      </c>
      <c r="I53" s="103">
        <f t="shared" si="0"/>
        <v>0</v>
      </c>
    </row>
    <row r="54" spans="1:9" ht="23.25" customHeight="1" outlineLevel="2">
      <c r="A54" s="48" t="s">
        <v>103</v>
      </c>
      <c r="B54" s="67" t="s">
        <v>39</v>
      </c>
      <c r="C54" s="67" t="s">
        <v>43</v>
      </c>
      <c r="D54" s="67" t="s">
        <v>16</v>
      </c>
      <c r="E54" s="69">
        <v>0</v>
      </c>
      <c r="F54" s="68">
        <v>200</v>
      </c>
      <c r="G54" s="103">
        <v>3.4</v>
      </c>
      <c r="H54" s="103">
        <v>0</v>
      </c>
      <c r="I54" s="103">
        <f t="shared" si="0"/>
        <v>0</v>
      </c>
    </row>
    <row r="55" spans="1:9" ht="12.75" hidden="1" outlineLevel="2">
      <c r="A55" s="48" t="s">
        <v>36</v>
      </c>
      <c r="B55" s="67" t="s">
        <v>39</v>
      </c>
      <c r="C55" s="67" t="s">
        <v>44</v>
      </c>
      <c r="D55" s="67"/>
      <c r="E55" s="69"/>
      <c r="F55" s="68"/>
      <c r="G55" s="103">
        <f>SUM(G56)</f>
        <v>0</v>
      </c>
      <c r="H55" s="103">
        <f>SUM(H56)</f>
        <v>0</v>
      </c>
      <c r="I55" s="103" t="e">
        <f t="shared" si="0"/>
        <v>#DIV/0!</v>
      </c>
    </row>
    <row r="56" spans="1:9" ht="12.75" hidden="1" outlineLevel="5">
      <c r="A56" s="48" t="s">
        <v>37</v>
      </c>
      <c r="B56" s="67" t="s">
        <v>39</v>
      </c>
      <c r="C56" s="67" t="s">
        <v>44</v>
      </c>
      <c r="D56" s="67" t="s">
        <v>16</v>
      </c>
      <c r="E56" s="69" t="s">
        <v>9</v>
      </c>
      <c r="F56" s="68"/>
      <c r="G56" s="103">
        <f>SUM(G57)</f>
        <v>0</v>
      </c>
      <c r="H56" s="103">
        <f>SUM(H57)</f>
        <v>0</v>
      </c>
      <c r="I56" s="103" t="e">
        <f t="shared" si="0"/>
        <v>#DIV/0!</v>
      </c>
    </row>
    <row r="57" spans="1:9" ht="24" hidden="1" outlineLevel="2">
      <c r="A57" s="48" t="s">
        <v>159</v>
      </c>
      <c r="B57" s="67" t="s">
        <v>39</v>
      </c>
      <c r="C57" s="67" t="s">
        <v>44</v>
      </c>
      <c r="D57" s="67" t="s">
        <v>16</v>
      </c>
      <c r="E57" s="69" t="s">
        <v>9</v>
      </c>
      <c r="F57" s="68"/>
      <c r="G57" s="103">
        <f aca="true" t="shared" si="2" ref="G57:H60">SUM(G58)</f>
        <v>0</v>
      </c>
      <c r="H57" s="103">
        <f t="shared" si="2"/>
        <v>0</v>
      </c>
      <c r="I57" s="103" t="e">
        <f t="shared" si="0"/>
        <v>#DIV/0!</v>
      </c>
    </row>
    <row r="58" spans="1:9" ht="24" hidden="1" outlineLevel="5">
      <c r="A58" s="48" t="s">
        <v>103</v>
      </c>
      <c r="B58" s="67" t="s">
        <v>39</v>
      </c>
      <c r="C58" s="67" t="s">
        <v>44</v>
      </c>
      <c r="D58" s="67" t="s">
        <v>16</v>
      </c>
      <c r="E58" s="69">
        <v>0</v>
      </c>
      <c r="F58" s="68">
        <v>200</v>
      </c>
      <c r="G58" s="103">
        <v>0</v>
      </c>
      <c r="H58" s="103">
        <v>0</v>
      </c>
      <c r="I58" s="103" t="e">
        <f t="shared" si="0"/>
        <v>#DIV/0!</v>
      </c>
    </row>
    <row r="59" spans="1:9" ht="12.75" outlineLevel="1">
      <c r="A59" s="48" t="s">
        <v>38</v>
      </c>
      <c r="B59" s="67" t="s">
        <v>39</v>
      </c>
      <c r="C59" s="67" t="s">
        <v>45</v>
      </c>
      <c r="D59" s="67"/>
      <c r="E59" s="69"/>
      <c r="F59" s="68"/>
      <c r="G59" s="103">
        <f t="shared" si="2"/>
        <v>320</v>
      </c>
      <c r="H59" s="103">
        <f t="shared" si="2"/>
        <v>0</v>
      </c>
      <c r="I59" s="103">
        <f t="shared" si="0"/>
        <v>0</v>
      </c>
    </row>
    <row r="60" spans="1:9" ht="29.25" customHeight="1" outlineLevel="2">
      <c r="A60" s="48" t="s">
        <v>159</v>
      </c>
      <c r="B60" s="67" t="s">
        <v>39</v>
      </c>
      <c r="C60" s="67" t="s">
        <v>45</v>
      </c>
      <c r="D60" s="67" t="s">
        <v>16</v>
      </c>
      <c r="E60" s="69" t="s">
        <v>9</v>
      </c>
      <c r="F60" s="68"/>
      <c r="G60" s="103">
        <f t="shared" si="2"/>
        <v>320</v>
      </c>
      <c r="H60" s="103">
        <f t="shared" si="2"/>
        <v>0</v>
      </c>
      <c r="I60" s="103">
        <f t="shared" si="0"/>
        <v>0</v>
      </c>
    </row>
    <row r="61" spans="1:9" ht="12.75" outlineLevel="2">
      <c r="A61" s="48" t="s">
        <v>148</v>
      </c>
      <c r="B61" s="67" t="s">
        <v>39</v>
      </c>
      <c r="C61" s="67" t="s">
        <v>45</v>
      </c>
      <c r="D61" s="67" t="s">
        <v>16</v>
      </c>
      <c r="E61" s="69" t="s">
        <v>9</v>
      </c>
      <c r="F61" s="68">
        <v>800</v>
      </c>
      <c r="G61" s="103">
        <v>320</v>
      </c>
      <c r="H61" s="103">
        <v>0</v>
      </c>
      <c r="I61" s="103">
        <f t="shared" si="0"/>
        <v>0</v>
      </c>
    </row>
    <row r="62" spans="1:9" ht="12.75" outlineLevel="2">
      <c r="A62" s="48" t="s">
        <v>46</v>
      </c>
      <c r="B62" s="67" t="s">
        <v>39</v>
      </c>
      <c r="C62" s="67" t="s">
        <v>29</v>
      </c>
      <c r="D62" s="67"/>
      <c r="E62" s="69"/>
      <c r="F62" s="68"/>
      <c r="G62" s="103">
        <f>SUM(G63+G70+G79+G82+G86+G89+G96+G77+G68+G75+G93)</f>
        <v>29154.32879</v>
      </c>
      <c r="H62" s="103">
        <f>SUM(H63+H70+H79+H82+H86+H89+H96+H77+H68+H75+H93)</f>
        <v>8962.869719999999</v>
      </c>
      <c r="I62" s="103">
        <f t="shared" si="0"/>
        <v>30.742843659889996</v>
      </c>
    </row>
    <row r="63" spans="1:9" ht="36" outlineLevel="2">
      <c r="A63" s="48" t="s">
        <v>269</v>
      </c>
      <c r="B63" s="67" t="s">
        <v>39</v>
      </c>
      <c r="C63" s="67" t="s">
        <v>29</v>
      </c>
      <c r="D63" s="67" t="s">
        <v>6</v>
      </c>
      <c r="E63" s="69">
        <v>0</v>
      </c>
      <c r="F63" s="68"/>
      <c r="G63" s="103">
        <f>SUM(G66+G64)</f>
        <v>150</v>
      </c>
      <c r="H63" s="103">
        <f>SUM(H66+H64)</f>
        <v>0</v>
      </c>
      <c r="I63" s="103">
        <f t="shared" si="0"/>
        <v>0</v>
      </c>
    </row>
    <row r="64" spans="1:9" ht="24" hidden="1" outlineLevel="2">
      <c r="A64" s="48" t="s">
        <v>208</v>
      </c>
      <c r="B64" s="67" t="s">
        <v>39</v>
      </c>
      <c r="C64" s="67" t="s">
        <v>29</v>
      </c>
      <c r="D64" s="67" t="s">
        <v>6</v>
      </c>
      <c r="E64" s="69">
        <v>3</v>
      </c>
      <c r="F64" s="68"/>
      <c r="G64" s="103">
        <f>SUM(G65:G65)</f>
        <v>0</v>
      </c>
      <c r="H64" s="103">
        <f>SUM(H65:H65)</f>
        <v>0</v>
      </c>
      <c r="I64" s="103" t="e">
        <f t="shared" si="0"/>
        <v>#DIV/0!</v>
      </c>
    </row>
    <row r="65" spans="1:9" ht="24" hidden="1" outlineLevel="2">
      <c r="A65" s="48" t="s">
        <v>160</v>
      </c>
      <c r="B65" s="67" t="s">
        <v>39</v>
      </c>
      <c r="C65" s="67" t="s">
        <v>29</v>
      </c>
      <c r="D65" s="67" t="s">
        <v>6</v>
      </c>
      <c r="E65" s="69">
        <v>3</v>
      </c>
      <c r="F65" s="68">
        <v>600</v>
      </c>
      <c r="G65" s="103">
        <v>0</v>
      </c>
      <c r="H65" s="103">
        <v>0</v>
      </c>
      <c r="I65" s="103" t="e">
        <f t="shared" si="0"/>
        <v>#DIV/0!</v>
      </c>
    </row>
    <row r="66" spans="1:9" ht="24" outlineLevel="2">
      <c r="A66" s="48" t="s">
        <v>191</v>
      </c>
      <c r="B66" s="67" t="s">
        <v>39</v>
      </c>
      <c r="C66" s="67" t="s">
        <v>29</v>
      </c>
      <c r="D66" s="67" t="s">
        <v>6</v>
      </c>
      <c r="E66" s="69">
        <v>4</v>
      </c>
      <c r="F66" s="68"/>
      <c r="G66" s="103">
        <f>SUM(G67)</f>
        <v>150</v>
      </c>
      <c r="H66" s="103">
        <f>SUM(H67)</f>
        <v>0</v>
      </c>
      <c r="I66" s="103">
        <f t="shared" si="0"/>
        <v>0</v>
      </c>
    </row>
    <row r="67" spans="1:9" ht="24" customHeight="1" outlineLevel="2">
      <c r="A67" s="48" t="s">
        <v>160</v>
      </c>
      <c r="B67" s="67" t="s">
        <v>39</v>
      </c>
      <c r="C67" s="67" t="s">
        <v>29</v>
      </c>
      <c r="D67" s="67" t="s">
        <v>6</v>
      </c>
      <c r="E67" s="69">
        <v>4</v>
      </c>
      <c r="F67" s="68">
        <v>600</v>
      </c>
      <c r="G67" s="103">
        <v>150</v>
      </c>
      <c r="H67" s="103">
        <f>150-150</f>
        <v>0</v>
      </c>
      <c r="I67" s="103">
        <f t="shared" si="0"/>
        <v>0</v>
      </c>
    </row>
    <row r="68" spans="1:9" ht="12.75" outlineLevel="2">
      <c r="A68" s="48" t="s">
        <v>254</v>
      </c>
      <c r="B68" s="67" t="s">
        <v>39</v>
      </c>
      <c r="C68" s="67" t="s">
        <v>29</v>
      </c>
      <c r="D68" s="67" t="s">
        <v>10</v>
      </c>
      <c r="E68" s="69">
        <v>0</v>
      </c>
      <c r="F68" s="68"/>
      <c r="G68" s="103">
        <f>SUM(G69)</f>
        <v>100</v>
      </c>
      <c r="H68" s="103">
        <f>SUM(H69)</f>
        <v>35.8</v>
      </c>
      <c r="I68" s="103">
        <f t="shared" si="0"/>
        <v>35.8</v>
      </c>
    </row>
    <row r="69" spans="1:9" ht="24" outlineLevel="2">
      <c r="A69" s="48" t="s">
        <v>103</v>
      </c>
      <c r="B69" s="67" t="s">
        <v>39</v>
      </c>
      <c r="C69" s="67" t="s">
        <v>29</v>
      </c>
      <c r="D69" s="67" t="s">
        <v>10</v>
      </c>
      <c r="E69" s="69">
        <v>0</v>
      </c>
      <c r="F69" s="68">
        <v>200</v>
      </c>
      <c r="G69" s="103">
        <v>100</v>
      </c>
      <c r="H69" s="103">
        <v>35.8</v>
      </c>
      <c r="I69" s="103">
        <f t="shared" si="0"/>
        <v>35.8</v>
      </c>
    </row>
    <row r="70" spans="1:9" ht="37.5" customHeight="1" outlineLevel="2">
      <c r="A70" s="48" t="s">
        <v>258</v>
      </c>
      <c r="B70" s="67" t="s">
        <v>39</v>
      </c>
      <c r="C70" s="67" t="s">
        <v>29</v>
      </c>
      <c r="D70" s="67" t="s">
        <v>155</v>
      </c>
      <c r="E70" s="69">
        <v>0</v>
      </c>
      <c r="F70" s="68"/>
      <c r="G70" s="103">
        <f>SUM(G71+G73)</f>
        <v>50</v>
      </c>
      <c r="H70" s="103">
        <f>SUM(H71+H73)</f>
        <v>0</v>
      </c>
      <c r="I70" s="103">
        <f t="shared" si="0"/>
        <v>0</v>
      </c>
    </row>
    <row r="71" spans="1:9" ht="20.25" customHeight="1" outlineLevel="2">
      <c r="A71" s="48" t="s">
        <v>276</v>
      </c>
      <c r="B71" s="67" t="s">
        <v>39</v>
      </c>
      <c r="C71" s="67" t="s">
        <v>29</v>
      </c>
      <c r="D71" s="67" t="s">
        <v>155</v>
      </c>
      <c r="E71" s="69">
        <v>1</v>
      </c>
      <c r="F71" s="68"/>
      <c r="G71" s="103">
        <f>SUM(G72)</f>
        <v>35</v>
      </c>
      <c r="H71" s="103">
        <f>SUM(H72)</f>
        <v>0</v>
      </c>
      <c r="I71" s="103">
        <f t="shared" si="0"/>
        <v>0</v>
      </c>
    </row>
    <row r="72" spans="1:9" ht="24" outlineLevel="2">
      <c r="A72" s="48" t="s">
        <v>103</v>
      </c>
      <c r="B72" s="67" t="s">
        <v>39</v>
      </c>
      <c r="C72" s="67" t="s">
        <v>29</v>
      </c>
      <c r="D72" s="67" t="s">
        <v>155</v>
      </c>
      <c r="E72" s="69">
        <v>1</v>
      </c>
      <c r="F72" s="68">
        <v>200</v>
      </c>
      <c r="G72" s="103">
        <f>50-15</f>
        <v>35</v>
      </c>
      <c r="H72" s="103">
        <v>0</v>
      </c>
      <c r="I72" s="103">
        <f t="shared" si="0"/>
        <v>0</v>
      </c>
    </row>
    <row r="73" spans="1:9" ht="24" outlineLevel="2">
      <c r="A73" s="48" t="s">
        <v>277</v>
      </c>
      <c r="B73" s="67" t="s">
        <v>39</v>
      </c>
      <c r="C73" s="67" t="s">
        <v>29</v>
      </c>
      <c r="D73" s="67" t="s">
        <v>155</v>
      </c>
      <c r="E73" s="69">
        <v>2</v>
      </c>
      <c r="F73" s="68"/>
      <c r="G73" s="103">
        <f>SUM(G74)</f>
        <v>15</v>
      </c>
      <c r="H73" s="103">
        <f>SUM(H74)</f>
        <v>0</v>
      </c>
      <c r="I73" s="103">
        <f t="shared" si="0"/>
        <v>0</v>
      </c>
    </row>
    <row r="74" spans="1:9" ht="24" outlineLevel="2">
      <c r="A74" s="48" t="s">
        <v>103</v>
      </c>
      <c r="B74" s="67" t="s">
        <v>39</v>
      </c>
      <c r="C74" s="67" t="s">
        <v>29</v>
      </c>
      <c r="D74" s="67" t="s">
        <v>155</v>
      </c>
      <c r="E74" s="69">
        <v>2</v>
      </c>
      <c r="F74" s="68">
        <v>200</v>
      </c>
      <c r="G74" s="103">
        <v>15</v>
      </c>
      <c r="H74" s="103">
        <v>0</v>
      </c>
      <c r="I74" s="103">
        <f aca="true" t="shared" si="3" ref="I74:I137">SUM(H74/G74)*100</f>
        <v>0</v>
      </c>
    </row>
    <row r="75" spans="1:9" ht="24" hidden="1" outlineLevel="2">
      <c r="A75" s="66" t="s">
        <v>226</v>
      </c>
      <c r="B75" s="67" t="s">
        <v>39</v>
      </c>
      <c r="C75" s="67" t="s">
        <v>29</v>
      </c>
      <c r="D75" s="67" t="s">
        <v>225</v>
      </c>
      <c r="E75" s="69">
        <v>0</v>
      </c>
      <c r="F75" s="68"/>
      <c r="G75" s="103">
        <f>SUM(G76)</f>
        <v>0</v>
      </c>
      <c r="H75" s="103">
        <f>SUM(H76)</f>
        <v>0</v>
      </c>
      <c r="I75" s="103" t="e">
        <f t="shared" si="3"/>
        <v>#DIV/0!</v>
      </c>
    </row>
    <row r="76" spans="1:9" ht="24" hidden="1" outlineLevel="2">
      <c r="A76" s="66" t="s">
        <v>103</v>
      </c>
      <c r="B76" s="67" t="s">
        <v>39</v>
      </c>
      <c r="C76" s="67" t="s">
        <v>29</v>
      </c>
      <c r="D76" s="67" t="s">
        <v>225</v>
      </c>
      <c r="E76" s="69">
        <v>0</v>
      </c>
      <c r="F76" s="68">
        <v>200</v>
      </c>
      <c r="G76" s="103">
        <v>0</v>
      </c>
      <c r="H76" s="103">
        <v>0</v>
      </c>
      <c r="I76" s="103" t="e">
        <f t="shared" si="3"/>
        <v>#DIV/0!</v>
      </c>
    </row>
    <row r="77" spans="1:9" ht="35.25" customHeight="1" outlineLevel="2">
      <c r="A77" s="48" t="s">
        <v>260</v>
      </c>
      <c r="B77" s="67" t="s">
        <v>39</v>
      </c>
      <c r="C77" s="67" t="s">
        <v>29</v>
      </c>
      <c r="D77" s="67" t="s">
        <v>189</v>
      </c>
      <c r="E77" s="69">
        <v>0</v>
      </c>
      <c r="F77" s="68"/>
      <c r="G77" s="103">
        <f>SUM(G78)</f>
        <v>50</v>
      </c>
      <c r="H77" s="103">
        <f>SUM(H78)</f>
        <v>0</v>
      </c>
      <c r="I77" s="103">
        <f t="shared" si="3"/>
        <v>0</v>
      </c>
    </row>
    <row r="78" spans="1:9" ht="24" outlineLevel="2">
      <c r="A78" s="48" t="s">
        <v>103</v>
      </c>
      <c r="B78" s="67" t="s">
        <v>39</v>
      </c>
      <c r="C78" s="67" t="s">
        <v>29</v>
      </c>
      <c r="D78" s="67" t="s">
        <v>189</v>
      </c>
      <c r="E78" s="69">
        <v>0</v>
      </c>
      <c r="F78" s="68">
        <v>200</v>
      </c>
      <c r="G78" s="103">
        <f>50</f>
        <v>50</v>
      </c>
      <c r="H78" s="103">
        <v>0</v>
      </c>
      <c r="I78" s="103">
        <f t="shared" si="3"/>
        <v>0</v>
      </c>
    </row>
    <row r="79" spans="1:9" ht="51" customHeight="1" outlineLevel="2">
      <c r="A79" s="48" t="s">
        <v>265</v>
      </c>
      <c r="B79" s="67" t="s">
        <v>39</v>
      </c>
      <c r="C79" s="67" t="s">
        <v>29</v>
      </c>
      <c r="D79" s="67" t="s">
        <v>14</v>
      </c>
      <c r="E79" s="69">
        <v>0</v>
      </c>
      <c r="F79" s="68"/>
      <c r="G79" s="103">
        <f>SUM(G80:G81)</f>
        <v>25020</v>
      </c>
      <c r="H79" s="103">
        <f>SUM(H80:H81)</f>
        <v>8413.00272</v>
      </c>
      <c r="I79" s="103">
        <f t="shared" si="3"/>
        <v>33.62511079136691</v>
      </c>
    </row>
    <row r="80" spans="1:9" ht="23.25" customHeight="1" outlineLevel="2">
      <c r="A80" s="48" t="s">
        <v>160</v>
      </c>
      <c r="B80" s="67" t="s">
        <v>39</v>
      </c>
      <c r="C80" s="67" t="s">
        <v>29</v>
      </c>
      <c r="D80" s="67" t="s">
        <v>14</v>
      </c>
      <c r="E80" s="69">
        <v>0</v>
      </c>
      <c r="F80" s="68">
        <v>600</v>
      </c>
      <c r="G80" s="103">
        <f>20000+4000</f>
        <v>24000</v>
      </c>
      <c r="H80" s="103">
        <v>8172.83859</v>
      </c>
      <c r="I80" s="103">
        <f t="shared" si="3"/>
        <v>34.053494125</v>
      </c>
    </row>
    <row r="81" spans="1:9" ht="35.25" customHeight="1" outlineLevel="2">
      <c r="A81" s="48" t="s">
        <v>309</v>
      </c>
      <c r="B81" s="67" t="s">
        <v>39</v>
      </c>
      <c r="C81" s="67" t="s">
        <v>29</v>
      </c>
      <c r="D81" s="67" t="s">
        <v>14</v>
      </c>
      <c r="E81" s="69">
        <v>0</v>
      </c>
      <c r="F81" s="68">
        <v>600</v>
      </c>
      <c r="G81" s="103">
        <v>1020</v>
      </c>
      <c r="H81" s="103">
        <v>240.16413</v>
      </c>
      <c r="I81" s="103">
        <f t="shared" si="3"/>
        <v>23.545502941176473</v>
      </c>
    </row>
    <row r="82" spans="1:9" ht="12.75" outlineLevel="2">
      <c r="A82" s="48" t="s">
        <v>239</v>
      </c>
      <c r="B82" s="67" t="s">
        <v>39</v>
      </c>
      <c r="C82" s="67" t="s">
        <v>29</v>
      </c>
      <c r="D82" s="67"/>
      <c r="E82" s="69"/>
      <c r="F82" s="68"/>
      <c r="G82" s="103">
        <f>SUM(G83)</f>
        <v>1139.5</v>
      </c>
      <c r="H82" s="103">
        <f>SUM(H83)</f>
        <v>299.9</v>
      </c>
      <c r="I82" s="103">
        <f t="shared" si="3"/>
        <v>26.318560772268533</v>
      </c>
    </row>
    <row r="83" spans="1:9" ht="26.25" customHeight="1" outlineLevel="2">
      <c r="A83" s="48" t="s">
        <v>104</v>
      </c>
      <c r="B83" s="67" t="s">
        <v>39</v>
      </c>
      <c r="C83" s="67" t="s">
        <v>29</v>
      </c>
      <c r="D83" s="67" t="s">
        <v>11</v>
      </c>
      <c r="E83" s="69">
        <v>0</v>
      </c>
      <c r="F83" s="68"/>
      <c r="G83" s="103">
        <f>SUM(G84:G85)</f>
        <v>1139.5</v>
      </c>
      <c r="H83" s="103">
        <f>SUM(H84:H85)</f>
        <v>299.9</v>
      </c>
      <c r="I83" s="103">
        <f t="shared" si="3"/>
        <v>26.318560772268533</v>
      </c>
    </row>
    <row r="84" spans="1:9" ht="50.25" customHeight="1" outlineLevel="2">
      <c r="A84" s="48" t="s">
        <v>102</v>
      </c>
      <c r="B84" s="67" t="s">
        <v>39</v>
      </c>
      <c r="C84" s="67" t="s">
        <v>29</v>
      </c>
      <c r="D84" s="67" t="s">
        <v>11</v>
      </c>
      <c r="E84" s="69" t="s">
        <v>9</v>
      </c>
      <c r="F84" s="68">
        <v>100</v>
      </c>
      <c r="G84" s="103">
        <f>941.7+21.2+27.3</f>
        <v>990.2</v>
      </c>
      <c r="H84" s="103">
        <v>276.0052</v>
      </c>
      <c r="I84" s="103">
        <f t="shared" si="3"/>
        <v>27.873682084427386</v>
      </c>
    </row>
    <row r="85" spans="1:9" ht="24" outlineLevel="2">
      <c r="A85" s="48" t="s">
        <v>103</v>
      </c>
      <c r="B85" s="67" t="s">
        <v>39</v>
      </c>
      <c r="C85" s="67" t="s">
        <v>29</v>
      </c>
      <c r="D85" s="67" t="s">
        <v>11</v>
      </c>
      <c r="E85" s="69" t="s">
        <v>9</v>
      </c>
      <c r="F85" s="68">
        <v>200</v>
      </c>
      <c r="G85" s="103">
        <f>217.2-40.6-27.3</f>
        <v>149.29999999999998</v>
      </c>
      <c r="H85" s="103">
        <v>23.8948</v>
      </c>
      <c r="I85" s="103">
        <f t="shared" si="3"/>
        <v>16.0045545880777</v>
      </c>
    </row>
    <row r="86" spans="1:9" ht="27.75" customHeight="1" outlineLevel="2">
      <c r="A86" s="48" t="s">
        <v>234</v>
      </c>
      <c r="B86" s="67" t="s">
        <v>39</v>
      </c>
      <c r="C86" s="67" t="s">
        <v>29</v>
      </c>
      <c r="D86" s="67" t="s">
        <v>16</v>
      </c>
      <c r="E86" s="69">
        <v>0</v>
      </c>
      <c r="F86" s="68"/>
      <c r="G86" s="103">
        <f>SUM(G87)</f>
        <v>100</v>
      </c>
      <c r="H86" s="103">
        <f>SUM(H87)</f>
        <v>0</v>
      </c>
      <c r="I86" s="103">
        <f t="shared" si="3"/>
        <v>0</v>
      </c>
    </row>
    <row r="87" spans="1:9" ht="25.5" customHeight="1" outlineLevel="2">
      <c r="A87" s="48" t="s">
        <v>159</v>
      </c>
      <c r="B87" s="67" t="s">
        <v>39</v>
      </c>
      <c r="C87" s="67" t="s">
        <v>29</v>
      </c>
      <c r="D87" s="67" t="s">
        <v>16</v>
      </c>
      <c r="E87" s="69" t="s">
        <v>9</v>
      </c>
      <c r="F87" s="68"/>
      <c r="G87" s="103">
        <f>SUM(G88)</f>
        <v>100</v>
      </c>
      <c r="H87" s="103">
        <f>SUM(H88)</f>
        <v>0</v>
      </c>
      <c r="I87" s="103">
        <f t="shared" si="3"/>
        <v>0</v>
      </c>
    </row>
    <row r="88" spans="1:9" ht="24" outlineLevel="5">
      <c r="A88" s="48" t="s">
        <v>103</v>
      </c>
      <c r="B88" s="67" t="s">
        <v>39</v>
      </c>
      <c r="C88" s="67" t="s">
        <v>29</v>
      </c>
      <c r="D88" s="67" t="s">
        <v>16</v>
      </c>
      <c r="E88" s="69" t="s">
        <v>9</v>
      </c>
      <c r="F88" s="68">
        <v>200</v>
      </c>
      <c r="G88" s="103">
        <v>100</v>
      </c>
      <c r="H88" s="103">
        <v>0</v>
      </c>
      <c r="I88" s="103">
        <f t="shared" si="3"/>
        <v>0</v>
      </c>
    </row>
    <row r="89" spans="1:9" ht="24" outlineLevel="5">
      <c r="A89" s="48" t="s">
        <v>233</v>
      </c>
      <c r="B89" s="67" t="s">
        <v>39</v>
      </c>
      <c r="C89" s="67" t="s">
        <v>29</v>
      </c>
      <c r="D89" s="67" t="s">
        <v>16</v>
      </c>
      <c r="E89" s="69">
        <v>0</v>
      </c>
      <c r="F89" s="68"/>
      <c r="G89" s="103">
        <f>SUM(G90)</f>
        <v>2281.22879</v>
      </c>
      <c r="H89" s="103">
        <f>SUM(H90)</f>
        <v>214.16699999999997</v>
      </c>
      <c r="I89" s="103">
        <f t="shared" si="3"/>
        <v>9.388229753141067</v>
      </c>
    </row>
    <row r="90" spans="1:9" ht="24.75" customHeight="1" outlineLevel="5">
      <c r="A90" s="48" t="s">
        <v>159</v>
      </c>
      <c r="B90" s="67" t="s">
        <v>39</v>
      </c>
      <c r="C90" s="67" t="s">
        <v>29</v>
      </c>
      <c r="D90" s="67" t="s">
        <v>16</v>
      </c>
      <c r="E90" s="69" t="s">
        <v>9</v>
      </c>
      <c r="F90" s="68"/>
      <c r="G90" s="103">
        <f>SUM(G91:G92)</f>
        <v>2281.22879</v>
      </c>
      <c r="H90" s="103">
        <f>SUM(H91:H92)</f>
        <v>214.16699999999997</v>
      </c>
      <c r="I90" s="103">
        <f t="shared" si="3"/>
        <v>9.388229753141067</v>
      </c>
    </row>
    <row r="91" spans="1:9" ht="24" outlineLevel="5">
      <c r="A91" s="48" t="s">
        <v>103</v>
      </c>
      <c r="B91" s="67" t="s">
        <v>39</v>
      </c>
      <c r="C91" s="67" t="s">
        <v>29</v>
      </c>
      <c r="D91" s="67" t="s">
        <v>16</v>
      </c>
      <c r="E91" s="69">
        <v>0</v>
      </c>
      <c r="F91" s="68">
        <v>200</v>
      </c>
      <c r="G91" s="103">
        <f>730.6-705.8+60-58.5+451.9+500.42194+486.4-285.6-68.41152-19.18163-241.6</f>
        <v>850.22879</v>
      </c>
      <c r="H91" s="103">
        <v>94.35</v>
      </c>
      <c r="I91" s="103">
        <f t="shared" si="3"/>
        <v>11.097013075739296</v>
      </c>
    </row>
    <row r="92" spans="1:9" ht="12.75" outlineLevel="5">
      <c r="A92" s="48" t="s">
        <v>148</v>
      </c>
      <c r="B92" s="67" t="s">
        <v>39</v>
      </c>
      <c r="C92" s="67" t="s">
        <v>29</v>
      </c>
      <c r="D92" s="67" t="s">
        <v>16</v>
      </c>
      <c r="E92" s="69">
        <v>0</v>
      </c>
      <c r="F92" s="68">
        <v>800</v>
      </c>
      <c r="G92" s="103">
        <f>155-100+100+1288-12</f>
        <v>1431</v>
      </c>
      <c r="H92" s="103">
        <v>119.817</v>
      </c>
      <c r="I92" s="103">
        <f t="shared" si="3"/>
        <v>8.372955974842766</v>
      </c>
    </row>
    <row r="93" spans="1:9" ht="24" outlineLevel="5">
      <c r="A93" s="48" t="s">
        <v>314</v>
      </c>
      <c r="B93" s="67" t="s">
        <v>39</v>
      </c>
      <c r="C93" s="67" t="s">
        <v>29</v>
      </c>
      <c r="D93" s="67" t="s">
        <v>16</v>
      </c>
      <c r="E93" s="69">
        <v>0</v>
      </c>
      <c r="F93" s="68"/>
      <c r="G93" s="103">
        <f>SUM(G94)</f>
        <v>263.6</v>
      </c>
      <c r="H93" s="103">
        <f>SUM(H94)</f>
        <v>0</v>
      </c>
      <c r="I93" s="103">
        <f t="shared" si="3"/>
        <v>0</v>
      </c>
    </row>
    <row r="94" spans="1:9" ht="24" outlineLevel="5">
      <c r="A94" s="48" t="s">
        <v>159</v>
      </c>
      <c r="B94" s="67" t="s">
        <v>39</v>
      </c>
      <c r="C94" s="67" t="s">
        <v>29</v>
      </c>
      <c r="D94" s="67" t="s">
        <v>16</v>
      </c>
      <c r="E94" s="69" t="s">
        <v>9</v>
      </c>
      <c r="F94" s="68"/>
      <c r="G94" s="103">
        <f>SUM(G95)</f>
        <v>263.6</v>
      </c>
      <c r="H94" s="103">
        <f>SUM(H95)</f>
        <v>0</v>
      </c>
      <c r="I94" s="103">
        <f t="shared" si="3"/>
        <v>0</v>
      </c>
    </row>
    <row r="95" spans="1:9" ht="24" outlineLevel="5">
      <c r="A95" s="48" t="s">
        <v>103</v>
      </c>
      <c r="B95" s="67" t="s">
        <v>39</v>
      </c>
      <c r="C95" s="67" t="s">
        <v>29</v>
      </c>
      <c r="D95" s="67" t="s">
        <v>16</v>
      </c>
      <c r="E95" s="69">
        <v>0</v>
      </c>
      <c r="F95" s="68">
        <v>200</v>
      </c>
      <c r="G95" s="103">
        <v>263.6</v>
      </c>
      <c r="H95" s="103">
        <v>0</v>
      </c>
      <c r="I95" s="103">
        <f t="shared" si="3"/>
        <v>0</v>
      </c>
    </row>
    <row r="96" spans="1:9" ht="12.75" outlineLevel="5">
      <c r="A96" s="48" t="s">
        <v>47</v>
      </c>
      <c r="B96" s="67" t="s">
        <v>39</v>
      </c>
      <c r="C96" s="67" t="s">
        <v>29</v>
      </c>
      <c r="D96" s="67" t="s">
        <v>16</v>
      </c>
      <c r="E96" s="69">
        <v>0</v>
      </c>
      <c r="F96" s="68"/>
      <c r="G96" s="103">
        <f>7416.9-4448.8-2968.1</f>
        <v>0</v>
      </c>
      <c r="H96" s="103">
        <v>0</v>
      </c>
      <c r="I96" s="103">
        <v>0</v>
      </c>
    </row>
    <row r="97" spans="1:9" ht="12.75" outlineLevel="1">
      <c r="A97" s="48" t="s">
        <v>48</v>
      </c>
      <c r="B97" s="67" t="s">
        <v>39</v>
      </c>
      <c r="C97" s="67" t="s">
        <v>114</v>
      </c>
      <c r="D97" s="67"/>
      <c r="E97" s="69"/>
      <c r="F97" s="68"/>
      <c r="G97" s="103">
        <f aca="true" t="shared" si="4" ref="G97:H100">SUM(G98)</f>
        <v>320</v>
      </c>
      <c r="H97" s="103">
        <f t="shared" si="4"/>
        <v>0</v>
      </c>
      <c r="I97" s="103">
        <f t="shared" si="3"/>
        <v>0</v>
      </c>
    </row>
    <row r="98" spans="1:9" ht="12.75" outlineLevel="2">
      <c r="A98" s="48" t="s">
        <v>49</v>
      </c>
      <c r="B98" s="67" t="s">
        <v>39</v>
      </c>
      <c r="C98" s="67" t="s">
        <v>50</v>
      </c>
      <c r="D98" s="67"/>
      <c r="E98" s="69"/>
      <c r="F98" s="68"/>
      <c r="G98" s="103">
        <f t="shared" si="4"/>
        <v>320</v>
      </c>
      <c r="H98" s="103">
        <f t="shared" si="4"/>
        <v>0</v>
      </c>
      <c r="I98" s="103">
        <f t="shared" si="3"/>
        <v>0</v>
      </c>
    </row>
    <row r="99" spans="1:9" ht="12.75" outlineLevel="5">
      <c r="A99" s="48" t="s">
        <v>17</v>
      </c>
      <c r="B99" s="67" t="s">
        <v>39</v>
      </c>
      <c r="C99" s="67" t="s">
        <v>50</v>
      </c>
      <c r="D99" s="67"/>
      <c r="E99" s="69"/>
      <c r="F99" s="68"/>
      <c r="G99" s="103">
        <f t="shared" si="4"/>
        <v>320</v>
      </c>
      <c r="H99" s="103">
        <f t="shared" si="4"/>
        <v>0</v>
      </c>
      <c r="I99" s="103">
        <f t="shared" si="3"/>
        <v>0</v>
      </c>
    </row>
    <row r="100" spans="1:9" ht="27" customHeight="1" outlineLevel="5">
      <c r="A100" s="48" t="s">
        <v>159</v>
      </c>
      <c r="B100" s="67" t="s">
        <v>39</v>
      </c>
      <c r="C100" s="67" t="s">
        <v>50</v>
      </c>
      <c r="D100" s="67" t="s">
        <v>16</v>
      </c>
      <c r="E100" s="69">
        <v>0</v>
      </c>
      <c r="F100" s="68"/>
      <c r="G100" s="103">
        <f t="shared" si="4"/>
        <v>320</v>
      </c>
      <c r="H100" s="103">
        <f t="shared" si="4"/>
        <v>0</v>
      </c>
      <c r="I100" s="103">
        <f t="shared" si="3"/>
        <v>0</v>
      </c>
    </row>
    <row r="101" spans="1:9" ht="24" outlineLevel="5">
      <c r="A101" s="48" t="s">
        <v>103</v>
      </c>
      <c r="B101" s="67" t="s">
        <v>39</v>
      </c>
      <c r="C101" s="67" t="s">
        <v>50</v>
      </c>
      <c r="D101" s="67" t="s">
        <v>16</v>
      </c>
      <c r="E101" s="69">
        <v>0</v>
      </c>
      <c r="F101" s="68">
        <v>200</v>
      </c>
      <c r="G101" s="103">
        <f>20+300</f>
        <v>320</v>
      </c>
      <c r="H101" s="103">
        <v>0</v>
      </c>
      <c r="I101" s="103">
        <f t="shared" si="3"/>
        <v>0</v>
      </c>
    </row>
    <row r="102" spans="1:9" ht="12.75" outlineLevel="5">
      <c r="A102" s="48" t="s">
        <v>119</v>
      </c>
      <c r="B102" s="67" t="s">
        <v>39</v>
      </c>
      <c r="C102" s="67" t="s">
        <v>115</v>
      </c>
      <c r="D102" s="67"/>
      <c r="E102" s="69"/>
      <c r="F102" s="68"/>
      <c r="G102" s="103">
        <f>SUM(G103+G106)</f>
        <v>70</v>
      </c>
      <c r="H102" s="103">
        <f>SUM(H103+H106)</f>
        <v>0</v>
      </c>
      <c r="I102" s="103">
        <f t="shared" si="3"/>
        <v>0</v>
      </c>
    </row>
    <row r="103" spans="1:9" ht="12.75" outlineLevel="5">
      <c r="A103" s="48" t="s">
        <v>321</v>
      </c>
      <c r="B103" s="67" t="s">
        <v>39</v>
      </c>
      <c r="C103" s="67" t="s">
        <v>51</v>
      </c>
      <c r="D103" s="67"/>
      <c r="E103" s="69"/>
      <c r="F103" s="68"/>
      <c r="G103" s="103">
        <f>SUM(G104)</f>
        <v>20</v>
      </c>
      <c r="H103" s="103">
        <f>SUM(H104)</f>
        <v>0</v>
      </c>
      <c r="I103" s="103">
        <f t="shared" si="3"/>
        <v>0</v>
      </c>
    </row>
    <row r="104" spans="1:9" ht="24" outlineLevel="5">
      <c r="A104" s="48" t="s">
        <v>159</v>
      </c>
      <c r="B104" s="67" t="s">
        <v>39</v>
      </c>
      <c r="C104" s="67" t="s">
        <v>51</v>
      </c>
      <c r="D104" s="67" t="s">
        <v>16</v>
      </c>
      <c r="E104" s="69">
        <v>0</v>
      </c>
      <c r="F104" s="68"/>
      <c r="G104" s="103">
        <f>SUM(G105)</f>
        <v>20</v>
      </c>
      <c r="H104" s="103">
        <f>SUM(H105)</f>
        <v>0</v>
      </c>
      <c r="I104" s="103">
        <f t="shared" si="3"/>
        <v>0</v>
      </c>
    </row>
    <row r="105" spans="1:9" ht="24" outlineLevel="5">
      <c r="A105" s="48" t="s">
        <v>103</v>
      </c>
      <c r="B105" s="67" t="s">
        <v>39</v>
      </c>
      <c r="C105" s="67" t="s">
        <v>51</v>
      </c>
      <c r="D105" s="67" t="s">
        <v>16</v>
      </c>
      <c r="E105" s="69">
        <v>0</v>
      </c>
      <c r="F105" s="68">
        <v>200</v>
      </c>
      <c r="G105" s="103">
        <v>20</v>
      </c>
      <c r="H105" s="103">
        <v>0</v>
      </c>
      <c r="I105" s="103">
        <f t="shared" si="3"/>
        <v>0</v>
      </c>
    </row>
    <row r="106" spans="1:9" ht="30" customHeight="1" outlineLevel="1">
      <c r="A106" s="48" t="s">
        <v>319</v>
      </c>
      <c r="B106" s="67" t="s">
        <v>39</v>
      </c>
      <c r="C106" s="67" t="s">
        <v>320</v>
      </c>
      <c r="D106" s="67"/>
      <c r="E106" s="69"/>
      <c r="F106" s="68"/>
      <c r="G106" s="103">
        <f>SUM(G107)</f>
        <v>50</v>
      </c>
      <c r="H106" s="103">
        <f>SUM(H107)</f>
        <v>0</v>
      </c>
      <c r="I106" s="103">
        <f t="shared" si="3"/>
        <v>0</v>
      </c>
    </row>
    <row r="107" spans="1:9" ht="24.75" customHeight="1" outlineLevel="2">
      <c r="A107" s="48" t="s">
        <v>159</v>
      </c>
      <c r="B107" s="67" t="s">
        <v>39</v>
      </c>
      <c r="C107" s="67" t="s">
        <v>320</v>
      </c>
      <c r="D107" s="67" t="s">
        <v>16</v>
      </c>
      <c r="E107" s="69">
        <v>0</v>
      </c>
      <c r="F107" s="68"/>
      <c r="G107" s="103">
        <f>SUM(G108)</f>
        <v>50</v>
      </c>
      <c r="H107" s="103">
        <f>SUM(H108)</f>
        <v>0</v>
      </c>
      <c r="I107" s="103">
        <f t="shared" si="3"/>
        <v>0</v>
      </c>
    </row>
    <row r="108" spans="1:9" ht="24" outlineLevel="3">
      <c r="A108" s="48" t="s">
        <v>103</v>
      </c>
      <c r="B108" s="67" t="s">
        <v>39</v>
      </c>
      <c r="C108" s="67" t="s">
        <v>320</v>
      </c>
      <c r="D108" s="67" t="s">
        <v>16</v>
      </c>
      <c r="E108" s="69">
        <v>0</v>
      </c>
      <c r="F108" s="68">
        <v>200</v>
      </c>
      <c r="G108" s="103">
        <f>50+10-10</f>
        <v>50</v>
      </c>
      <c r="H108" s="103">
        <v>0</v>
      </c>
      <c r="I108" s="103">
        <f t="shared" si="3"/>
        <v>0</v>
      </c>
    </row>
    <row r="109" spans="1:9" ht="15" customHeight="1" outlineLevel="3">
      <c r="A109" s="48" t="s">
        <v>120</v>
      </c>
      <c r="B109" s="67" t="s">
        <v>39</v>
      </c>
      <c r="C109" s="67" t="s">
        <v>60</v>
      </c>
      <c r="D109" s="67"/>
      <c r="E109" s="69"/>
      <c r="F109" s="68"/>
      <c r="G109" s="104">
        <f>SUM(G110+G114+G122)</f>
        <v>39782.97663</v>
      </c>
      <c r="H109" s="104">
        <f>SUM(H110+H114+H122)</f>
        <v>142</v>
      </c>
      <c r="I109" s="103">
        <f t="shared" si="3"/>
        <v>0.35693658953844853</v>
      </c>
    </row>
    <row r="110" spans="1:9" ht="12.75" outlineLevel="3">
      <c r="A110" s="48" t="s">
        <v>149</v>
      </c>
      <c r="B110" s="67" t="s">
        <v>39</v>
      </c>
      <c r="C110" s="67" t="s">
        <v>150</v>
      </c>
      <c r="D110" s="67"/>
      <c r="E110" s="69"/>
      <c r="F110" s="68"/>
      <c r="G110" s="104">
        <f aca="true" t="shared" si="5" ref="G110:H112">SUM(G111)</f>
        <v>134.4</v>
      </c>
      <c r="H110" s="104">
        <f t="shared" si="5"/>
        <v>0</v>
      </c>
      <c r="I110" s="103">
        <f t="shared" si="3"/>
        <v>0</v>
      </c>
    </row>
    <row r="111" spans="1:9" ht="48" outlineLevel="3">
      <c r="A111" s="48" t="s">
        <v>235</v>
      </c>
      <c r="B111" s="67" t="s">
        <v>39</v>
      </c>
      <c r="C111" s="67" t="s">
        <v>150</v>
      </c>
      <c r="D111" s="67" t="s">
        <v>16</v>
      </c>
      <c r="E111" s="69">
        <v>0</v>
      </c>
      <c r="F111" s="68"/>
      <c r="G111" s="104">
        <f t="shared" si="5"/>
        <v>134.4</v>
      </c>
      <c r="H111" s="104">
        <f t="shared" si="5"/>
        <v>0</v>
      </c>
      <c r="I111" s="103">
        <f t="shared" si="3"/>
        <v>0</v>
      </c>
    </row>
    <row r="112" spans="1:9" ht="24" outlineLevel="3">
      <c r="A112" s="48" t="s">
        <v>159</v>
      </c>
      <c r="B112" s="67" t="s">
        <v>39</v>
      </c>
      <c r="C112" s="67" t="s">
        <v>150</v>
      </c>
      <c r="D112" s="67" t="s">
        <v>16</v>
      </c>
      <c r="E112" s="69">
        <v>0</v>
      </c>
      <c r="F112" s="68"/>
      <c r="G112" s="104">
        <f t="shared" si="5"/>
        <v>134.4</v>
      </c>
      <c r="H112" s="104">
        <f t="shared" si="5"/>
        <v>0</v>
      </c>
      <c r="I112" s="103">
        <f t="shared" si="3"/>
        <v>0</v>
      </c>
    </row>
    <row r="113" spans="1:9" ht="24" outlineLevel="3">
      <c r="A113" s="48" t="s">
        <v>103</v>
      </c>
      <c r="B113" s="67" t="s">
        <v>39</v>
      </c>
      <c r="C113" s="67" t="s">
        <v>150</v>
      </c>
      <c r="D113" s="67" t="s">
        <v>16</v>
      </c>
      <c r="E113" s="69">
        <v>0</v>
      </c>
      <c r="F113" s="68">
        <v>200</v>
      </c>
      <c r="G113" s="103">
        <f>139.6-5.2</f>
        <v>134.4</v>
      </c>
      <c r="H113" s="103">
        <v>0</v>
      </c>
      <c r="I113" s="103">
        <f t="shared" si="3"/>
        <v>0</v>
      </c>
    </row>
    <row r="114" spans="1:9" ht="12.75">
      <c r="A114" s="48" t="s">
        <v>121</v>
      </c>
      <c r="B114" s="67" t="s">
        <v>39</v>
      </c>
      <c r="C114" s="67" t="s">
        <v>52</v>
      </c>
      <c r="D114" s="67"/>
      <c r="E114" s="69"/>
      <c r="F114" s="68"/>
      <c r="G114" s="104">
        <f>SUM(G115+G120)</f>
        <v>39023.576629999996</v>
      </c>
      <c r="H114" s="104">
        <f>SUM(H115+H120)</f>
        <v>0</v>
      </c>
      <c r="I114" s="103">
        <f t="shared" si="3"/>
        <v>0</v>
      </c>
    </row>
    <row r="115" spans="1:9" ht="38.25" customHeight="1" outlineLevel="1">
      <c r="A115" s="48" t="s">
        <v>289</v>
      </c>
      <c r="B115" s="67" t="s">
        <v>39</v>
      </c>
      <c r="C115" s="67" t="s">
        <v>52</v>
      </c>
      <c r="D115" s="67" t="s">
        <v>153</v>
      </c>
      <c r="E115" s="69">
        <v>0</v>
      </c>
      <c r="F115" s="70"/>
      <c r="G115" s="103">
        <f>SUM(G116:G119)</f>
        <v>39023.576629999996</v>
      </c>
      <c r="H115" s="103">
        <f>SUM(H116:H119)</f>
        <v>0</v>
      </c>
      <c r="I115" s="103">
        <f t="shared" si="3"/>
        <v>0</v>
      </c>
    </row>
    <row r="116" spans="1:9" ht="24" outlineLevel="2">
      <c r="A116" s="48" t="s">
        <v>103</v>
      </c>
      <c r="B116" s="67" t="s">
        <v>39</v>
      </c>
      <c r="C116" s="67" t="s">
        <v>52</v>
      </c>
      <c r="D116" s="67" t="s">
        <v>153</v>
      </c>
      <c r="E116" s="69">
        <v>0</v>
      </c>
      <c r="F116" s="70">
        <v>200</v>
      </c>
      <c r="G116" s="103">
        <f>6127.4+7234.17663-60.60606</f>
        <v>13300.97057</v>
      </c>
      <c r="H116" s="103">
        <v>0</v>
      </c>
      <c r="I116" s="103">
        <f t="shared" si="3"/>
        <v>0</v>
      </c>
    </row>
    <row r="117" spans="1:9" ht="12.75" outlineLevel="2">
      <c r="A117" s="48" t="s">
        <v>328</v>
      </c>
      <c r="B117" s="67" t="s">
        <v>39</v>
      </c>
      <c r="C117" s="67" t="s">
        <v>52</v>
      </c>
      <c r="D117" s="67" t="s">
        <v>153</v>
      </c>
      <c r="E117" s="69">
        <v>0</v>
      </c>
      <c r="F117" s="70">
        <v>200</v>
      </c>
      <c r="G117" s="103">
        <f>3615+8000+6000-3615-8000+7966.53</f>
        <v>13966.529999999999</v>
      </c>
      <c r="H117" s="103">
        <v>0</v>
      </c>
      <c r="I117" s="103">
        <f t="shared" si="3"/>
        <v>0</v>
      </c>
    </row>
    <row r="118" spans="1:9" ht="36" outlineLevel="2">
      <c r="A118" s="48" t="s">
        <v>329</v>
      </c>
      <c r="B118" s="67" t="s">
        <v>39</v>
      </c>
      <c r="C118" s="67" t="s">
        <v>52</v>
      </c>
      <c r="D118" s="67" t="s">
        <v>153</v>
      </c>
      <c r="E118" s="69">
        <v>0</v>
      </c>
      <c r="F118" s="70">
        <v>200</v>
      </c>
      <c r="G118" s="103">
        <f>60.60606+80.47</f>
        <v>141.07605999999998</v>
      </c>
      <c r="H118" s="103">
        <v>0</v>
      </c>
      <c r="I118" s="103">
        <f t="shared" si="3"/>
        <v>0</v>
      </c>
    </row>
    <row r="119" spans="1:9" ht="24" outlineLevel="2" collapsed="1">
      <c r="A119" s="48" t="s">
        <v>285</v>
      </c>
      <c r="B119" s="67" t="s">
        <v>39</v>
      </c>
      <c r="C119" s="67" t="s">
        <v>52</v>
      </c>
      <c r="D119" s="67" t="s">
        <v>153</v>
      </c>
      <c r="E119" s="69">
        <v>0</v>
      </c>
      <c r="F119" s="70">
        <v>500</v>
      </c>
      <c r="G119" s="103">
        <f>3615+8000</f>
        <v>11615</v>
      </c>
      <c r="H119" s="103">
        <v>0</v>
      </c>
      <c r="I119" s="103">
        <f t="shared" si="3"/>
        <v>0</v>
      </c>
    </row>
    <row r="120" spans="1:9" ht="24" hidden="1" outlineLevel="3">
      <c r="A120" s="48" t="s">
        <v>290</v>
      </c>
      <c r="B120" s="67" t="s">
        <v>39</v>
      </c>
      <c r="C120" s="67" t="s">
        <v>52</v>
      </c>
      <c r="D120" s="67" t="s">
        <v>12</v>
      </c>
      <c r="E120" s="69">
        <v>0</v>
      </c>
      <c r="F120" s="68"/>
      <c r="G120" s="103">
        <f>SUM(G121)</f>
        <v>0</v>
      </c>
      <c r="H120" s="103">
        <f>SUM(H121)</f>
        <v>0</v>
      </c>
      <c r="I120" s="103" t="e">
        <f t="shared" si="3"/>
        <v>#DIV/0!</v>
      </c>
    </row>
    <row r="121" spans="1:9" ht="24" hidden="1" outlineLevel="3">
      <c r="A121" s="48" t="s">
        <v>160</v>
      </c>
      <c r="B121" s="67" t="s">
        <v>39</v>
      </c>
      <c r="C121" s="67" t="s">
        <v>52</v>
      </c>
      <c r="D121" s="67" t="s">
        <v>12</v>
      </c>
      <c r="E121" s="69">
        <v>0</v>
      </c>
      <c r="F121" s="68">
        <v>600</v>
      </c>
      <c r="G121" s="103">
        <v>0</v>
      </c>
      <c r="H121" s="103">
        <v>0</v>
      </c>
      <c r="I121" s="103" t="e">
        <f t="shared" si="3"/>
        <v>#DIV/0!</v>
      </c>
    </row>
    <row r="122" spans="1:9" ht="14.25" customHeight="1" outlineLevel="3">
      <c r="A122" s="48" t="s">
        <v>122</v>
      </c>
      <c r="B122" s="67" t="s">
        <v>39</v>
      </c>
      <c r="C122" s="67" t="s">
        <v>53</v>
      </c>
      <c r="D122" s="67"/>
      <c r="E122" s="69"/>
      <c r="F122" s="68"/>
      <c r="G122" s="103">
        <f>SUM(G123+G130+G127)</f>
        <v>625</v>
      </c>
      <c r="H122" s="103">
        <f>SUM(H123+H130+H127)</f>
        <v>142</v>
      </c>
      <c r="I122" s="103">
        <f t="shared" si="3"/>
        <v>22.720000000000002</v>
      </c>
    </row>
    <row r="123" spans="1:9" ht="34.5" customHeight="1" outlineLevel="3">
      <c r="A123" s="48" t="s">
        <v>255</v>
      </c>
      <c r="B123" s="67" t="s">
        <v>39</v>
      </c>
      <c r="C123" s="67" t="s">
        <v>53</v>
      </c>
      <c r="D123" s="67" t="s">
        <v>13</v>
      </c>
      <c r="E123" s="69">
        <v>0</v>
      </c>
      <c r="F123" s="68"/>
      <c r="G123" s="103">
        <f>SUM(G124:G126)</f>
        <v>100</v>
      </c>
      <c r="H123" s="103">
        <f>SUM(H124:H126)</f>
        <v>0</v>
      </c>
      <c r="I123" s="103">
        <f t="shared" si="3"/>
        <v>0</v>
      </c>
    </row>
    <row r="124" spans="1:9" ht="24" hidden="1" outlineLevel="3">
      <c r="A124" s="48" t="s">
        <v>103</v>
      </c>
      <c r="B124" s="67" t="s">
        <v>39</v>
      </c>
      <c r="C124" s="67" t="s">
        <v>53</v>
      </c>
      <c r="D124" s="67" t="s">
        <v>13</v>
      </c>
      <c r="E124" s="69">
        <v>0</v>
      </c>
      <c r="F124" s="68">
        <v>200</v>
      </c>
      <c r="G124" s="103">
        <v>0</v>
      </c>
      <c r="H124" s="103">
        <v>0</v>
      </c>
      <c r="I124" s="103" t="e">
        <f t="shared" si="3"/>
        <v>#DIV/0!</v>
      </c>
    </row>
    <row r="125" spans="1:9" ht="16.5" customHeight="1" hidden="1" outlineLevel="3">
      <c r="A125" s="48" t="s">
        <v>161</v>
      </c>
      <c r="B125" s="67" t="s">
        <v>39</v>
      </c>
      <c r="C125" s="67" t="s">
        <v>53</v>
      </c>
      <c r="D125" s="67" t="s">
        <v>13</v>
      </c>
      <c r="E125" s="69">
        <v>0</v>
      </c>
      <c r="F125" s="68">
        <v>300</v>
      </c>
      <c r="G125" s="103">
        <f>50-50</f>
        <v>0</v>
      </c>
      <c r="H125" s="103">
        <v>0</v>
      </c>
      <c r="I125" s="103" t="e">
        <f t="shared" si="3"/>
        <v>#DIV/0!</v>
      </c>
    </row>
    <row r="126" spans="1:9" ht="12.75" outlineLevel="3">
      <c r="A126" s="48" t="s">
        <v>148</v>
      </c>
      <c r="B126" s="67" t="s">
        <v>39</v>
      </c>
      <c r="C126" s="67" t="s">
        <v>53</v>
      </c>
      <c r="D126" s="67" t="s">
        <v>13</v>
      </c>
      <c r="E126" s="69">
        <v>0</v>
      </c>
      <c r="F126" s="68">
        <v>800</v>
      </c>
      <c r="G126" s="103">
        <f>150-50</f>
        <v>100</v>
      </c>
      <c r="H126" s="103">
        <v>0</v>
      </c>
      <c r="I126" s="103">
        <f t="shared" si="3"/>
        <v>0</v>
      </c>
    </row>
    <row r="127" spans="1:9" ht="36.75" customHeight="1" outlineLevel="3">
      <c r="A127" s="48" t="s">
        <v>318</v>
      </c>
      <c r="B127" s="67" t="s">
        <v>39</v>
      </c>
      <c r="C127" s="67" t="s">
        <v>53</v>
      </c>
      <c r="D127" s="67" t="s">
        <v>279</v>
      </c>
      <c r="E127" s="69">
        <v>0</v>
      </c>
      <c r="F127" s="68"/>
      <c r="G127" s="103">
        <f>SUM(G128:G129)</f>
        <v>525</v>
      </c>
      <c r="H127" s="103">
        <f>SUM(H128:H129)</f>
        <v>142</v>
      </c>
      <c r="I127" s="103">
        <f t="shared" si="3"/>
        <v>27.047619047619047</v>
      </c>
    </row>
    <row r="128" spans="1:9" ht="21.75" customHeight="1" outlineLevel="3">
      <c r="A128" s="48" t="s">
        <v>103</v>
      </c>
      <c r="B128" s="67" t="s">
        <v>39</v>
      </c>
      <c r="C128" s="67" t="s">
        <v>53</v>
      </c>
      <c r="D128" s="67" t="s">
        <v>279</v>
      </c>
      <c r="E128" s="69">
        <v>0</v>
      </c>
      <c r="F128" s="68">
        <v>200</v>
      </c>
      <c r="G128" s="103">
        <f>525</f>
        <v>525</v>
      </c>
      <c r="H128" s="103">
        <v>142</v>
      </c>
      <c r="I128" s="103">
        <f t="shared" si="3"/>
        <v>27.047619047619047</v>
      </c>
    </row>
    <row r="129" spans="1:9" ht="17.25" customHeight="1" hidden="1" outlineLevel="3">
      <c r="A129" s="48" t="s">
        <v>162</v>
      </c>
      <c r="B129" s="67" t="s">
        <v>39</v>
      </c>
      <c r="C129" s="67" t="s">
        <v>53</v>
      </c>
      <c r="D129" s="67" t="s">
        <v>279</v>
      </c>
      <c r="E129" s="69">
        <v>0</v>
      </c>
      <c r="F129" s="68">
        <v>500</v>
      </c>
      <c r="G129" s="103">
        <v>0</v>
      </c>
      <c r="H129" s="103">
        <v>0</v>
      </c>
      <c r="I129" s="103">
        <v>0</v>
      </c>
    </row>
    <row r="130" spans="1:9" ht="24" hidden="1" outlineLevel="1">
      <c r="A130" s="48" t="s">
        <v>159</v>
      </c>
      <c r="B130" s="67" t="s">
        <v>39</v>
      </c>
      <c r="C130" s="67" t="s">
        <v>53</v>
      </c>
      <c r="D130" s="67" t="s">
        <v>16</v>
      </c>
      <c r="E130" s="69">
        <v>0</v>
      </c>
      <c r="F130" s="68"/>
      <c r="G130" s="103">
        <f>SUM(G131)</f>
        <v>0</v>
      </c>
      <c r="H130" s="103">
        <f>SUM(H131)</f>
        <v>0</v>
      </c>
      <c r="I130" s="103" t="e">
        <f t="shared" si="3"/>
        <v>#DIV/0!</v>
      </c>
    </row>
    <row r="131" spans="1:9" ht="12.75" hidden="1" outlineLevel="1">
      <c r="A131" s="48" t="s">
        <v>264</v>
      </c>
      <c r="B131" s="67" t="s">
        <v>39</v>
      </c>
      <c r="C131" s="67" t="s">
        <v>53</v>
      </c>
      <c r="D131" s="67" t="s">
        <v>16</v>
      </c>
      <c r="E131" s="69">
        <v>0</v>
      </c>
      <c r="F131" s="68">
        <v>300</v>
      </c>
      <c r="G131" s="103">
        <f>530-60-470</f>
        <v>0</v>
      </c>
      <c r="H131" s="103">
        <f>530-60-470</f>
        <v>0</v>
      </c>
      <c r="I131" s="103" t="e">
        <f t="shared" si="3"/>
        <v>#DIV/0!</v>
      </c>
    </row>
    <row r="132" spans="1:9" ht="19.5" customHeight="1" outlineLevel="1">
      <c r="A132" s="48" t="s">
        <v>55</v>
      </c>
      <c r="B132" s="67" t="s">
        <v>39</v>
      </c>
      <c r="C132" s="67" t="s">
        <v>56</v>
      </c>
      <c r="D132" s="67"/>
      <c r="E132" s="69"/>
      <c r="F132" s="68"/>
      <c r="G132" s="103">
        <f>SUM(G133+G146)</f>
        <v>133981.52532000002</v>
      </c>
      <c r="H132" s="103">
        <f>SUM(H133+H146)</f>
        <v>5684.019670000001</v>
      </c>
      <c r="I132" s="103">
        <f t="shared" si="3"/>
        <v>4.24239062544209</v>
      </c>
    </row>
    <row r="133" spans="1:9" ht="12.75" outlineLevel="1">
      <c r="A133" s="48" t="s">
        <v>54</v>
      </c>
      <c r="B133" s="67" t="s">
        <v>39</v>
      </c>
      <c r="C133" s="67" t="s">
        <v>57</v>
      </c>
      <c r="D133" s="67"/>
      <c r="E133" s="69"/>
      <c r="F133" s="68"/>
      <c r="G133" s="103">
        <f>SUM(G134+G143+G140)</f>
        <v>129427.70832</v>
      </c>
      <c r="H133" s="103">
        <f>SUM(H134+H143+H140)</f>
        <v>1130.20268</v>
      </c>
      <c r="I133" s="103">
        <f t="shared" si="3"/>
        <v>0.8732308519329272</v>
      </c>
    </row>
    <row r="134" spans="1:9" ht="36" outlineLevel="1">
      <c r="A134" s="48" t="s">
        <v>269</v>
      </c>
      <c r="B134" s="67" t="s">
        <v>39</v>
      </c>
      <c r="C134" s="67" t="s">
        <v>57</v>
      </c>
      <c r="D134" s="67" t="s">
        <v>6</v>
      </c>
      <c r="E134" s="69">
        <v>0</v>
      </c>
      <c r="F134" s="68"/>
      <c r="G134" s="103">
        <f>SUM(G135+G138)</f>
        <v>4476.85832</v>
      </c>
      <c r="H134" s="103">
        <f>SUM(H135+H138)</f>
        <v>1112</v>
      </c>
      <c r="I134" s="103">
        <f t="shared" si="3"/>
        <v>24.83884725661812</v>
      </c>
    </row>
    <row r="135" spans="1:9" ht="34.5" customHeight="1" outlineLevel="2" collapsed="1">
      <c r="A135" s="48" t="s">
        <v>190</v>
      </c>
      <c r="B135" s="67" t="s">
        <v>39</v>
      </c>
      <c r="C135" s="67" t="s">
        <v>57</v>
      </c>
      <c r="D135" s="67" t="s">
        <v>6</v>
      </c>
      <c r="E135" s="69">
        <v>1</v>
      </c>
      <c r="F135" s="68"/>
      <c r="G135" s="103">
        <f>SUM(G136:G137)</f>
        <v>4448</v>
      </c>
      <c r="H135" s="103">
        <f>SUM(H136:H137)</f>
        <v>1112</v>
      </c>
      <c r="I135" s="103">
        <f t="shared" si="3"/>
        <v>25</v>
      </c>
    </row>
    <row r="136" spans="1:9" ht="24" hidden="1" outlineLevel="5">
      <c r="A136" s="48" t="s">
        <v>103</v>
      </c>
      <c r="B136" s="67" t="s">
        <v>39</v>
      </c>
      <c r="C136" s="67" t="s">
        <v>57</v>
      </c>
      <c r="D136" s="67" t="s">
        <v>6</v>
      </c>
      <c r="E136" s="69">
        <v>1</v>
      </c>
      <c r="F136" s="68">
        <v>200</v>
      </c>
      <c r="G136" s="103">
        <v>0</v>
      </c>
      <c r="H136" s="103">
        <v>0</v>
      </c>
      <c r="I136" s="103" t="e">
        <f t="shared" si="3"/>
        <v>#DIV/0!</v>
      </c>
    </row>
    <row r="137" spans="1:9" ht="12.75" outlineLevel="2">
      <c r="A137" s="48" t="s">
        <v>162</v>
      </c>
      <c r="B137" s="67" t="s">
        <v>39</v>
      </c>
      <c r="C137" s="67" t="s">
        <v>57</v>
      </c>
      <c r="D137" s="67" t="s">
        <v>6</v>
      </c>
      <c r="E137" s="69">
        <v>1</v>
      </c>
      <c r="F137" s="68">
        <v>500</v>
      </c>
      <c r="G137" s="103">
        <f>4448</f>
        <v>4448</v>
      </c>
      <c r="H137" s="103">
        <v>1112</v>
      </c>
      <c r="I137" s="103">
        <f t="shared" si="3"/>
        <v>25</v>
      </c>
    </row>
    <row r="138" spans="1:9" ht="24" outlineLevel="5">
      <c r="A138" s="48" t="s">
        <v>191</v>
      </c>
      <c r="B138" s="67" t="s">
        <v>39</v>
      </c>
      <c r="C138" s="67" t="s">
        <v>57</v>
      </c>
      <c r="D138" s="67" t="s">
        <v>6</v>
      </c>
      <c r="E138" s="69">
        <v>4</v>
      </c>
      <c r="F138" s="68"/>
      <c r="G138" s="103">
        <f>SUM(G139)</f>
        <v>28.85832</v>
      </c>
      <c r="H138" s="103">
        <f>SUM(H139)</f>
        <v>0</v>
      </c>
      <c r="I138" s="103">
        <f aca="true" t="shared" si="6" ref="I138:I201">SUM(H138/G138)*100</f>
        <v>0</v>
      </c>
    </row>
    <row r="139" spans="1:9" ht="24" outlineLevel="5">
      <c r="A139" s="48" t="s">
        <v>103</v>
      </c>
      <c r="B139" s="67" t="s">
        <v>39</v>
      </c>
      <c r="C139" s="67" t="s">
        <v>57</v>
      </c>
      <c r="D139" s="67" t="s">
        <v>6</v>
      </c>
      <c r="E139" s="69">
        <v>4</v>
      </c>
      <c r="F139" s="68">
        <v>200</v>
      </c>
      <c r="G139" s="103">
        <f>28.85832</f>
        <v>28.85832</v>
      </c>
      <c r="H139" s="103">
        <v>0</v>
      </c>
      <c r="I139" s="103">
        <f t="shared" si="6"/>
        <v>0</v>
      </c>
    </row>
    <row r="140" spans="1:9" ht="24" outlineLevel="5">
      <c r="A140" s="48" t="s">
        <v>290</v>
      </c>
      <c r="B140" s="67" t="s">
        <v>39</v>
      </c>
      <c r="C140" s="67" t="s">
        <v>57</v>
      </c>
      <c r="D140" s="67" t="s">
        <v>12</v>
      </c>
      <c r="E140" s="69">
        <v>0</v>
      </c>
      <c r="F140" s="68"/>
      <c r="G140" s="103">
        <f>SUM(G141:G142)</f>
        <v>124897.25</v>
      </c>
      <c r="H140" s="103">
        <f>SUM(H141:H142)</f>
        <v>0</v>
      </c>
      <c r="I140" s="103">
        <f t="shared" si="6"/>
        <v>0</v>
      </c>
    </row>
    <row r="141" spans="1:9" ht="36" outlineLevel="5">
      <c r="A141" s="48" t="s">
        <v>302</v>
      </c>
      <c r="B141" s="67" t="s">
        <v>39</v>
      </c>
      <c r="C141" s="67" t="s">
        <v>57</v>
      </c>
      <c r="D141" s="67" t="s">
        <v>12</v>
      </c>
      <c r="E141" s="69">
        <v>0</v>
      </c>
      <c r="F141" s="68">
        <v>400</v>
      </c>
      <c r="G141" s="103">
        <v>120673.704</v>
      </c>
      <c r="H141" s="103">
        <v>0</v>
      </c>
      <c r="I141" s="103">
        <f t="shared" si="6"/>
        <v>0</v>
      </c>
    </row>
    <row r="142" spans="1:9" ht="24" outlineLevel="5">
      <c r="A142" s="48" t="s">
        <v>291</v>
      </c>
      <c r="B142" s="67" t="s">
        <v>39</v>
      </c>
      <c r="C142" s="67" t="s">
        <v>57</v>
      </c>
      <c r="D142" s="67" t="s">
        <v>12</v>
      </c>
      <c r="E142" s="69">
        <v>0</v>
      </c>
      <c r="F142" s="68">
        <v>400</v>
      </c>
      <c r="G142" s="103">
        <f>4223.546</f>
        <v>4223.546</v>
      </c>
      <c r="H142" s="103">
        <v>0</v>
      </c>
      <c r="I142" s="103">
        <f t="shared" si="6"/>
        <v>0</v>
      </c>
    </row>
    <row r="143" spans="1:9" ht="49.5" customHeight="1" outlineLevel="5">
      <c r="A143" s="48" t="s">
        <v>250</v>
      </c>
      <c r="B143" s="67" t="s">
        <v>39</v>
      </c>
      <c r="C143" s="67" t="s">
        <v>57</v>
      </c>
      <c r="D143" s="67"/>
      <c r="E143" s="69"/>
      <c r="F143" s="68"/>
      <c r="G143" s="103">
        <f>SUM(G144)</f>
        <v>53.60000000000001</v>
      </c>
      <c r="H143" s="103">
        <f>SUM(H144)</f>
        <v>18.20268</v>
      </c>
      <c r="I143" s="103">
        <f t="shared" si="6"/>
        <v>33.96022388059701</v>
      </c>
    </row>
    <row r="144" spans="1:9" ht="24" outlineLevel="5">
      <c r="A144" s="48" t="s">
        <v>159</v>
      </c>
      <c r="B144" s="67" t="s">
        <v>39</v>
      </c>
      <c r="C144" s="67" t="s">
        <v>57</v>
      </c>
      <c r="D144" s="67" t="s">
        <v>16</v>
      </c>
      <c r="E144" s="69">
        <v>0</v>
      </c>
      <c r="F144" s="68"/>
      <c r="G144" s="103">
        <f>SUM(G145)</f>
        <v>53.60000000000001</v>
      </c>
      <c r="H144" s="103">
        <f>SUM(H145)</f>
        <v>18.20268</v>
      </c>
      <c r="I144" s="103">
        <f t="shared" si="6"/>
        <v>33.96022388059701</v>
      </c>
    </row>
    <row r="145" spans="1:9" ht="12.75" outlineLevel="5">
      <c r="A145" s="48" t="s">
        <v>148</v>
      </c>
      <c r="B145" s="67" t="s">
        <v>39</v>
      </c>
      <c r="C145" s="67" t="s">
        <v>57</v>
      </c>
      <c r="D145" s="67" t="s">
        <v>16</v>
      </c>
      <c r="E145" s="69">
        <v>0</v>
      </c>
      <c r="F145" s="68">
        <v>800</v>
      </c>
      <c r="G145" s="103">
        <f>16.2+58.2-49.9+29.1</f>
        <v>53.60000000000001</v>
      </c>
      <c r="H145" s="103">
        <v>18.20268</v>
      </c>
      <c r="I145" s="103">
        <f t="shared" si="6"/>
        <v>33.96022388059701</v>
      </c>
    </row>
    <row r="146" spans="1:9" ht="12.75" outlineLevel="5">
      <c r="A146" s="48" t="s">
        <v>138</v>
      </c>
      <c r="B146" s="67" t="s">
        <v>39</v>
      </c>
      <c r="C146" s="67" t="s">
        <v>137</v>
      </c>
      <c r="D146" s="67"/>
      <c r="E146" s="69"/>
      <c r="F146" s="68"/>
      <c r="G146" s="103">
        <f>SUM(G147)</f>
        <v>4553.817</v>
      </c>
      <c r="H146" s="103">
        <f>SUM(H147)</f>
        <v>4553.81699</v>
      </c>
      <c r="I146" s="103">
        <f t="shared" si="6"/>
        <v>99.999999780404</v>
      </c>
    </row>
    <row r="147" spans="1:9" ht="24" outlineLevel="5">
      <c r="A147" s="48" t="s">
        <v>290</v>
      </c>
      <c r="B147" s="67" t="s">
        <v>39</v>
      </c>
      <c r="C147" s="67" t="s">
        <v>137</v>
      </c>
      <c r="D147" s="67" t="s">
        <v>12</v>
      </c>
      <c r="E147" s="69">
        <v>0</v>
      </c>
      <c r="F147" s="68"/>
      <c r="G147" s="103">
        <f>SUM(G148:G148)</f>
        <v>4553.817</v>
      </c>
      <c r="H147" s="103">
        <f>SUM(H148:H148)</f>
        <v>4553.81699</v>
      </c>
      <c r="I147" s="103">
        <f t="shared" si="6"/>
        <v>99.999999780404</v>
      </c>
    </row>
    <row r="148" spans="1:9" ht="24" outlineLevel="5">
      <c r="A148" s="48" t="s">
        <v>160</v>
      </c>
      <c r="B148" s="67" t="s">
        <v>39</v>
      </c>
      <c r="C148" s="67" t="s">
        <v>137</v>
      </c>
      <c r="D148" s="67" t="s">
        <v>12</v>
      </c>
      <c r="E148" s="69">
        <v>0</v>
      </c>
      <c r="F148" s="68">
        <v>600</v>
      </c>
      <c r="G148" s="103">
        <f>1111.917+3441.9</f>
        <v>4553.817</v>
      </c>
      <c r="H148" s="103">
        <v>4553.81699</v>
      </c>
      <c r="I148" s="103">
        <f t="shared" si="6"/>
        <v>99.999999780404</v>
      </c>
    </row>
    <row r="149" spans="1:9" ht="12.75" outlineLevel="5">
      <c r="A149" s="48" t="s">
        <v>58</v>
      </c>
      <c r="B149" s="67" t="s">
        <v>39</v>
      </c>
      <c r="C149" s="67" t="s">
        <v>116</v>
      </c>
      <c r="D149" s="67"/>
      <c r="E149" s="69"/>
      <c r="F149" s="68"/>
      <c r="G149" s="103">
        <f>SUM(G150)</f>
        <v>20</v>
      </c>
      <c r="H149" s="103">
        <f>SUM(H150)</f>
        <v>0</v>
      </c>
      <c r="I149" s="103">
        <f t="shared" si="6"/>
        <v>0</v>
      </c>
    </row>
    <row r="150" spans="1:9" ht="27" customHeight="1" outlineLevel="5">
      <c r="A150" s="48" t="s">
        <v>252</v>
      </c>
      <c r="B150" s="67" t="s">
        <v>39</v>
      </c>
      <c r="C150" s="67" t="s">
        <v>61</v>
      </c>
      <c r="D150" s="67" t="s">
        <v>15</v>
      </c>
      <c r="E150" s="69">
        <v>0</v>
      </c>
      <c r="F150" s="68"/>
      <c r="G150" s="103">
        <f>SUM(G151:G152)</f>
        <v>20</v>
      </c>
      <c r="H150" s="103">
        <f>SUM(H151:H152)</f>
        <v>0</v>
      </c>
      <c r="I150" s="103">
        <f t="shared" si="6"/>
        <v>0</v>
      </c>
    </row>
    <row r="151" spans="1:9" ht="20.25" customHeight="1" outlineLevel="5">
      <c r="A151" s="48" t="s">
        <v>103</v>
      </c>
      <c r="B151" s="67" t="s">
        <v>39</v>
      </c>
      <c r="C151" s="67" t="s">
        <v>61</v>
      </c>
      <c r="D151" s="67" t="s">
        <v>15</v>
      </c>
      <c r="E151" s="69">
        <v>0</v>
      </c>
      <c r="F151" s="68">
        <v>200</v>
      </c>
      <c r="G151" s="103">
        <f>50-30</f>
        <v>20</v>
      </c>
      <c r="H151" s="103">
        <v>0</v>
      </c>
      <c r="I151" s="103">
        <f t="shared" si="6"/>
        <v>0</v>
      </c>
    </row>
    <row r="152" spans="1:9" ht="24" customHeight="1" hidden="1" outlineLevel="5">
      <c r="A152" s="48" t="s">
        <v>160</v>
      </c>
      <c r="B152" s="67" t="s">
        <v>39</v>
      </c>
      <c r="C152" s="67" t="s">
        <v>61</v>
      </c>
      <c r="D152" s="67" t="s">
        <v>15</v>
      </c>
      <c r="E152" s="69">
        <v>0</v>
      </c>
      <c r="F152" s="68">
        <v>600</v>
      </c>
      <c r="G152" s="103">
        <v>0</v>
      </c>
      <c r="H152" s="103">
        <v>0</v>
      </c>
      <c r="I152" s="103" t="e">
        <f t="shared" si="6"/>
        <v>#DIV/0!</v>
      </c>
    </row>
    <row r="153" spans="1:9" ht="18.75" customHeight="1" outlineLevel="5">
      <c r="A153" s="48" t="s">
        <v>62</v>
      </c>
      <c r="B153" s="67" t="s">
        <v>39</v>
      </c>
      <c r="C153" s="67" t="s">
        <v>65</v>
      </c>
      <c r="D153" s="67"/>
      <c r="E153" s="69"/>
      <c r="F153" s="68"/>
      <c r="G153" s="103">
        <f>SUM(G154+G176+G223+G239+G215)</f>
        <v>245237.09920000003</v>
      </c>
      <c r="H153" s="103">
        <f>SUM(H154+H176+H223+H239+H215)</f>
        <v>46962.67343</v>
      </c>
      <c r="I153" s="103">
        <f t="shared" si="6"/>
        <v>19.149905778203724</v>
      </c>
    </row>
    <row r="154" spans="1:9" ht="19.5" customHeight="1" outlineLevel="1">
      <c r="A154" s="48" t="s">
        <v>63</v>
      </c>
      <c r="B154" s="67" t="s">
        <v>39</v>
      </c>
      <c r="C154" s="67" t="s">
        <v>64</v>
      </c>
      <c r="D154" s="67"/>
      <c r="E154" s="69"/>
      <c r="F154" s="68"/>
      <c r="G154" s="103">
        <f>SUM(G155+G163+G161+G169)</f>
        <v>41863.73287000001</v>
      </c>
      <c r="H154" s="103">
        <f>SUM(H155+H163+H161+H169)</f>
        <v>6535.529789999999</v>
      </c>
      <c r="I154" s="103">
        <f t="shared" si="6"/>
        <v>15.611435822731966</v>
      </c>
    </row>
    <row r="155" spans="1:9" ht="24" customHeight="1" outlineLevel="2">
      <c r="A155" s="48" t="s">
        <v>269</v>
      </c>
      <c r="B155" s="67" t="s">
        <v>39</v>
      </c>
      <c r="C155" s="67" t="s">
        <v>64</v>
      </c>
      <c r="D155" s="67" t="s">
        <v>6</v>
      </c>
      <c r="E155" s="69">
        <v>0</v>
      </c>
      <c r="F155" s="68"/>
      <c r="G155" s="103">
        <f>SUM(G156+G159)</f>
        <v>4150.90387</v>
      </c>
      <c r="H155" s="103">
        <f>SUM(H156+H159)</f>
        <v>49.86958</v>
      </c>
      <c r="I155" s="103">
        <f t="shared" si="6"/>
        <v>1.2014149583281002</v>
      </c>
    </row>
    <row r="156" spans="1:9" ht="32.25" customHeight="1" outlineLevel="3">
      <c r="A156" s="48" t="s">
        <v>208</v>
      </c>
      <c r="B156" s="67" t="s">
        <v>39</v>
      </c>
      <c r="C156" s="67" t="s">
        <v>64</v>
      </c>
      <c r="D156" s="67" t="s">
        <v>6</v>
      </c>
      <c r="E156" s="69">
        <v>3</v>
      </c>
      <c r="F156" s="68"/>
      <c r="G156" s="103">
        <f>SUM(G157:G158)</f>
        <v>3870.90387</v>
      </c>
      <c r="H156" s="103">
        <f>SUM(H157:H158)</f>
        <v>49.86958</v>
      </c>
      <c r="I156" s="103">
        <f t="shared" si="6"/>
        <v>1.2883187409146382</v>
      </c>
    </row>
    <row r="157" spans="1:9" ht="30" customHeight="1" outlineLevel="3">
      <c r="A157" s="48" t="s">
        <v>163</v>
      </c>
      <c r="B157" s="67" t="s">
        <v>39</v>
      </c>
      <c r="C157" s="67" t="s">
        <v>64</v>
      </c>
      <c r="D157" s="67" t="s">
        <v>6</v>
      </c>
      <c r="E157" s="69">
        <v>3</v>
      </c>
      <c r="F157" s="68">
        <v>400</v>
      </c>
      <c r="G157" s="103">
        <f>3870.90387</f>
        <v>3870.90387</v>
      </c>
      <c r="H157" s="103">
        <v>49.86958</v>
      </c>
      <c r="I157" s="103">
        <f t="shared" si="6"/>
        <v>1.2883187409146382</v>
      </c>
    </row>
    <row r="158" spans="1:9" ht="24">
      <c r="A158" s="48" t="s">
        <v>160</v>
      </c>
      <c r="B158" s="67" t="s">
        <v>39</v>
      </c>
      <c r="C158" s="67" t="s">
        <v>64</v>
      </c>
      <c r="D158" s="67" t="s">
        <v>6</v>
      </c>
      <c r="E158" s="69">
        <v>3</v>
      </c>
      <c r="F158" s="68">
        <v>600</v>
      </c>
      <c r="G158" s="103">
        <v>0</v>
      </c>
      <c r="H158" s="103">
        <v>0</v>
      </c>
      <c r="I158" s="103">
        <v>0</v>
      </c>
    </row>
    <row r="159" spans="1:9" ht="27" customHeight="1">
      <c r="A159" s="48" t="s">
        <v>191</v>
      </c>
      <c r="B159" s="67" t="s">
        <v>39</v>
      </c>
      <c r="C159" s="67" t="s">
        <v>64</v>
      </c>
      <c r="D159" s="67" t="s">
        <v>6</v>
      </c>
      <c r="E159" s="69">
        <v>4</v>
      </c>
      <c r="F159" s="68"/>
      <c r="G159" s="103">
        <f>SUM(G160:G160)</f>
        <v>280</v>
      </c>
      <c r="H159" s="103">
        <f>SUM(H160:H160)</f>
        <v>0</v>
      </c>
      <c r="I159" s="103">
        <f t="shared" si="6"/>
        <v>0</v>
      </c>
    </row>
    <row r="160" spans="1:9" ht="21.75" customHeight="1">
      <c r="A160" s="48" t="s">
        <v>160</v>
      </c>
      <c r="B160" s="67" t="s">
        <v>39</v>
      </c>
      <c r="C160" s="67" t="s">
        <v>64</v>
      </c>
      <c r="D160" s="67" t="s">
        <v>6</v>
      </c>
      <c r="E160" s="69">
        <v>4</v>
      </c>
      <c r="F160" s="68">
        <v>600</v>
      </c>
      <c r="G160" s="103">
        <v>280</v>
      </c>
      <c r="H160" s="103">
        <f>280-280</f>
        <v>0</v>
      </c>
      <c r="I160" s="103">
        <f t="shared" si="6"/>
        <v>0</v>
      </c>
    </row>
    <row r="161" spans="1:9" ht="86.25" customHeight="1">
      <c r="A161" s="48" t="s">
        <v>246</v>
      </c>
      <c r="B161" s="67" t="s">
        <v>39</v>
      </c>
      <c r="C161" s="67" t="s">
        <v>64</v>
      </c>
      <c r="D161" s="67" t="s">
        <v>209</v>
      </c>
      <c r="E161" s="69">
        <v>0</v>
      </c>
      <c r="F161" s="68"/>
      <c r="G161" s="103">
        <f>SUM(G162:G162)</f>
        <v>136.829</v>
      </c>
      <c r="H161" s="103">
        <f>SUM(H162:H162)</f>
        <v>0</v>
      </c>
      <c r="I161" s="103">
        <f t="shared" si="6"/>
        <v>0</v>
      </c>
    </row>
    <row r="162" spans="1:9" ht="27" customHeight="1">
      <c r="A162" s="48" t="s">
        <v>160</v>
      </c>
      <c r="B162" s="67" t="s">
        <v>39</v>
      </c>
      <c r="C162" s="67" t="s">
        <v>64</v>
      </c>
      <c r="D162" s="67" t="s">
        <v>209</v>
      </c>
      <c r="E162" s="69">
        <v>0</v>
      </c>
      <c r="F162" s="68">
        <v>600</v>
      </c>
      <c r="G162" s="103">
        <f>98.8+38.029</f>
        <v>136.829</v>
      </c>
      <c r="H162" s="103">
        <v>0</v>
      </c>
      <c r="I162" s="103">
        <f t="shared" si="6"/>
        <v>0</v>
      </c>
    </row>
    <row r="163" spans="1:9" ht="36" outlineLevel="5">
      <c r="A163" s="48" t="s">
        <v>271</v>
      </c>
      <c r="B163" s="67" t="s">
        <v>39</v>
      </c>
      <c r="C163" s="67" t="s">
        <v>64</v>
      </c>
      <c r="D163" s="67" t="s">
        <v>19</v>
      </c>
      <c r="E163" s="69">
        <v>0</v>
      </c>
      <c r="F163" s="68"/>
      <c r="G163" s="103">
        <f>SUM(G164:G168)</f>
        <v>25343</v>
      </c>
      <c r="H163" s="103">
        <f>SUM(H164:H168)</f>
        <v>4382.5138799999995</v>
      </c>
      <c r="I163" s="103">
        <f t="shared" si="6"/>
        <v>17.292798326954188</v>
      </c>
    </row>
    <row r="164" spans="1:9" ht="24" outlineLevel="5">
      <c r="A164" s="48" t="s">
        <v>160</v>
      </c>
      <c r="B164" s="67" t="s">
        <v>39</v>
      </c>
      <c r="C164" s="67" t="s">
        <v>64</v>
      </c>
      <c r="D164" s="67" t="s">
        <v>19</v>
      </c>
      <c r="E164" s="69">
        <v>0</v>
      </c>
      <c r="F164" s="68">
        <v>600</v>
      </c>
      <c r="G164" s="103">
        <v>10192.4</v>
      </c>
      <c r="H164" s="103">
        <v>1628.42664</v>
      </c>
      <c r="I164" s="103">
        <f t="shared" si="6"/>
        <v>15.976871394372278</v>
      </c>
    </row>
    <row r="165" spans="1:9" ht="33.75" customHeight="1" outlineLevel="5">
      <c r="A165" s="48" t="s">
        <v>152</v>
      </c>
      <c r="B165" s="67" t="s">
        <v>39</v>
      </c>
      <c r="C165" s="67" t="s">
        <v>64</v>
      </c>
      <c r="D165" s="67" t="s">
        <v>19</v>
      </c>
      <c r="E165" s="69">
        <v>0</v>
      </c>
      <c r="F165" s="68">
        <v>600</v>
      </c>
      <c r="G165" s="103">
        <f>15078-74.2+122.7</f>
        <v>15126.5</v>
      </c>
      <c r="H165" s="103">
        <v>2754.08724</v>
      </c>
      <c r="I165" s="103">
        <f t="shared" si="6"/>
        <v>18.207035599775228</v>
      </c>
    </row>
    <row r="166" spans="1:9" ht="34.5" customHeight="1" hidden="1" outlineLevel="5">
      <c r="A166" s="48" t="s">
        <v>313</v>
      </c>
      <c r="B166" s="67" t="s">
        <v>39</v>
      </c>
      <c r="C166" s="67" t="s">
        <v>64</v>
      </c>
      <c r="D166" s="67" t="s">
        <v>19</v>
      </c>
      <c r="E166" s="69">
        <v>0</v>
      </c>
      <c r="F166" s="68">
        <v>600</v>
      </c>
      <c r="G166" s="103">
        <v>0</v>
      </c>
      <c r="H166" s="103">
        <v>0</v>
      </c>
      <c r="I166" s="103" t="e">
        <f t="shared" si="6"/>
        <v>#DIV/0!</v>
      </c>
    </row>
    <row r="167" spans="1:9" ht="29.25" customHeight="1" outlineLevel="5">
      <c r="A167" s="48" t="s">
        <v>164</v>
      </c>
      <c r="B167" s="67" t="s">
        <v>39</v>
      </c>
      <c r="C167" s="67" t="s">
        <v>64</v>
      </c>
      <c r="D167" s="67" t="s">
        <v>19</v>
      </c>
      <c r="E167" s="69">
        <v>0</v>
      </c>
      <c r="F167" s="68">
        <v>600</v>
      </c>
      <c r="G167" s="103">
        <v>24.1</v>
      </c>
      <c r="H167" s="103">
        <v>0</v>
      </c>
      <c r="I167" s="103">
        <f t="shared" si="6"/>
        <v>0</v>
      </c>
    </row>
    <row r="168" spans="1:9" ht="96" hidden="1" outlineLevel="5">
      <c r="A168" s="48" t="s">
        <v>284</v>
      </c>
      <c r="B168" s="67" t="s">
        <v>39</v>
      </c>
      <c r="C168" s="67" t="s">
        <v>64</v>
      </c>
      <c r="D168" s="67" t="s">
        <v>19</v>
      </c>
      <c r="E168" s="69">
        <v>0</v>
      </c>
      <c r="F168" s="68">
        <v>600</v>
      </c>
      <c r="G168" s="103">
        <v>0</v>
      </c>
      <c r="H168" s="103">
        <v>0</v>
      </c>
      <c r="I168" s="103" t="e">
        <f t="shared" si="6"/>
        <v>#DIV/0!</v>
      </c>
    </row>
    <row r="169" spans="1:9" ht="24" outlineLevel="5">
      <c r="A169" s="48" t="s">
        <v>325</v>
      </c>
      <c r="B169" s="67" t="s">
        <v>39</v>
      </c>
      <c r="C169" s="67" t="s">
        <v>64</v>
      </c>
      <c r="D169" s="67" t="s">
        <v>20</v>
      </c>
      <c r="E169" s="69">
        <v>0</v>
      </c>
      <c r="F169" s="100"/>
      <c r="G169" s="104">
        <f>SUM(G170)</f>
        <v>12233</v>
      </c>
      <c r="H169" s="104">
        <f>SUM(H170)</f>
        <v>2103.14633</v>
      </c>
      <c r="I169" s="103">
        <f t="shared" si="6"/>
        <v>17.19240031063517</v>
      </c>
    </row>
    <row r="170" spans="1:9" ht="12.75" outlineLevel="5">
      <c r="A170" s="48" t="s">
        <v>315</v>
      </c>
      <c r="B170" s="67" t="s">
        <v>39</v>
      </c>
      <c r="C170" s="67" t="s">
        <v>64</v>
      </c>
      <c r="D170" s="67" t="s">
        <v>20</v>
      </c>
      <c r="E170" s="69">
        <v>1</v>
      </c>
      <c r="F170" s="100"/>
      <c r="G170" s="104">
        <f>SUM(G171:G175)</f>
        <v>12233</v>
      </c>
      <c r="H170" s="104">
        <f>SUM(H171:H175)</f>
        <v>2103.14633</v>
      </c>
      <c r="I170" s="103">
        <f t="shared" si="6"/>
        <v>17.19240031063517</v>
      </c>
    </row>
    <row r="171" spans="1:9" ht="63.75" customHeight="1" outlineLevel="5">
      <c r="A171" s="48" t="s">
        <v>236</v>
      </c>
      <c r="B171" s="67" t="s">
        <v>39</v>
      </c>
      <c r="C171" s="67" t="s">
        <v>64</v>
      </c>
      <c r="D171" s="67" t="s">
        <v>20</v>
      </c>
      <c r="E171" s="69">
        <v>1</v>
      </c>
      <c r="F171" s="68">
        <v>600</v>
      </c>
      <c r="G171" s="103">
        <f>6706.3+2570-84.3</f>
        <v>9192</v>
      </c>
      <c r="H171" s="103">
        <v>1623.42145</v>
      </c>
      <c r="I171" s="103">
        <f t="shared" si="6"/>
        <v>17.661242928633595</v>
      </c>
    </row>
    <row r="172" spans="1:9" ht="36" hidden="1" outlineLevel="5">
      <c r="A172" s="48" t="s">
        <v>313</v>
      </c>
      <c r="B172" s="67" t="s">
        <v>39</v>
      </c>
      <c r="C172" s="67" t="s">
        <v>64</v>
      </c>
      <c r="D172" s="67" t="s">
        <v>20</v>
      </c>
      <c r="E172" s="69">
        <v>1</v>
      </c>
      <c r="F172" s="68">
        <v>600</v>
      </c>
      <c r="G172" s="103">
        <v>0</v>
      </c>
      <c r="H172" s="103">
        <v>0</v>
      </c>
      <c r="I172" s="103" t="e">
        <f t="shared" si="6"/>
        <v>#DIV/0!</v>
      </c>
    </row>
    <row r="173" spans="1:9" ht="24.75" customHeight="1" outlineLevel="5">
      <c r="A173" s="48" t="s">
        <v>160</v>
      </c>
      <c r="B173" s="67" t="s">
        <v>39</v>
      </c>
      <c r="C173" s="67" t="s">
        <v>64</v>
      </c>
      <c r="D173" s="67" t="s">
        <v>20</v>
      </c>
      <c r="E173" s="69">
        <v>1</v>
      </c>
      <c r="F173" s="68">
        <v>600</v>
      </c>
      <c r="G173" s="103">
        <f>2207.6+792.4+41</f>
        <v>3041</v>
      </c>
      <c r="H173" s="103">
        <v>479.72488</v>
      </c>
      <c r="I173" s="103">
        <f t="shared" si="6"/>
        <v>15.775234462347912</v>
      </c>
    </row>
    <row r="174" spans="1:9" ht="0.75" customHeight="1" hidden="1" outlineLevel="5">
      <c r="A174" s="48" t="s">
        <v>297</v>
      </c>
      <c r="B174" s="67" t="s">
        <v>39</v>
      </c>
      <c r="C174" s="67" t="s">
        <v>64</v>
      </c>
      <c r="D174" s="67" t="s">
        <v>20</v>
      </c>
      <c r="E174" s="69">
        <v>0</v>
      </c>
      <c r="F174" s="68">
        <v>600</v>
      </c>
      <c r="G174" s="103">
        <v>0</v>
      </c>
      <c r="H174" s="103">
        <v>0</v>
      </c>
      <c r="I174" s="103" t="e">
        <f t="shared" si="6"/>
        <v>#DIV/0!</v>
      </c>
    </row>
    <row r="175" spans="1:9" ht="44.25" customHeight="1" hidden="1" outlineLevel="5">
      <c r="A175" s="48" t="s">
        <v>305</v>
      </c>
      <c r="B175" s="67" t="s">
        <v>39</v>
      </c>
      <c r="C175" s="67" t="s">
        <v>64</v>
      </c>
      <c r="D175" s="67" t="s">
        <v>20</v>
      </c>
      <c r="E175" s="69">
        <v>0</v>
      </c>
      <c r="F175" s="68">
        <v>600</v>
      </c>
      <c r="G175" s="103">
        <v>0</v>
      </c>
      <c r="H175" s="103">
        <v>0</v>
      </c>
      <c r="I175" s="103" t="e">
        <f t="shared" si="6"/>
        <v>#DIV/0!</v>
      </c>
    </row>
    <row r="176" spans="1:9" ht="20.25" customHeight="1" outlineLevel="5">
      <c r="A176" s="48" t="s">
        <v>71</v>
      </c>
      <c r="B176" s="67" t="s">
        <v>39</v>
      </c>
      <c r="C176" s="67" t="s">
        <v>66</v>
      </c>
      <c r="D176" s="67"/>
      <c r="E176" s="69"/>
      <c r="F176" s="68"/>
      <c r="G176" s="104">
        <f>SUM(G177)</f>
        <v>185873.47733000002</v>
      </c>
      <c r="H176" s="104">
        <f>SUM(H177)</f>
        <v>36819.04453</v>
      </c>
      <c r="I176" s="103">
        <f t="shared" si="6"/>
        <v>19.808659664031257</v>
      </c>
    </row>
    <row r="177" spans="1:9" ht="23.25" customHeight="1" outlineLevel="5">
      <c r="A177" s="48" t="s">
        <v>67</v>
      </c>
      <c r="B177" s="67" t="s">
        <v>39</v>
      </c>
      <c r="C177" s="67" t="s">
        <v>66</v>
      </c>
      <c r="D177" s="67"/>
      <c r="E177" s="69"/>
      <c r="F177" s="68"/>
      <c r="G177" s="103">
        <f>SUM(G178+G192+G189+G186)</f>
        <v>185873.47733000002</v>
      </c>
      <c r="H177" s="103">
        <f>SUM(H178+H192+H189+H186)</f>
        <v>36819.04453</v>
      </c>
      <c r="I177" s="103">
        <f t="shared" si="6"/>
        <v>19.808659664031257</v>
      </c>
    </row>
    <row r="178" spans="1:9" ht="36" customHeight="1" outlineLevel="5">
      <c r="A178" s="48" t="s">
        <v>269</v>
      </c>
      <c r="B178" s="67" t="s">
        <v>39</v>
      </c>
      <c r="C178" s="67" t="s">
        <v>66</v>
      </c>
      <c r="D178" s="67" t="s">
        <v>6</v>
      </c>
      <c r="E178" s="69">
        <v>0</v>
      </c>
      <c r="F178" s="68"/>
      <c r="G178" s="103">
        <f>SUM(G179+G182)</f>
        <v>9536.91569</v>
      </c>
      <c r="H178" s="103">
        <f>SUM(H179+H182)</f>
        <v>455.244</v>
      </c>
      <c r="I178" s="103">
        <f t="shared" si="6"/>
        <v>4.773492969821986</v>
      </c>
    </row>
    <row r="179" spans="1:9" ht="24" outlineLevel="5">
      <c r="A179" s="48" t="s">
        <v>208</v>
      </c>
      <c r="B179" s="67" t="s">
        <v>39</v>
      </c>
      <c r="C179" s="67" t="s">
        <v>66</v>
      </c>
      <c r="D179" s="67" t="s">
        <v>6</v>
      </c>
      <c r="E179" s="69">
        <v>3</v>
      </c>
      <c r="F179" s="68"/>
      <c r="G179" s="103">
        <f>SUM(G180:G181)</f>
        <v>7887.04511</v>
      </c>
      <c r="H179" s="103">
        <f>SUM(H180:H181)</f>
        <v>455.244</v>
      </c>
      <c r="I179" s="103">
        <f t="shared" si="6"/>
        <v>5.772047625577737</v>
      </c>
    </row>
    <row r="180" spans="1:9" ht="24" outlineLevel="5">
      <c r="A180" s="48" t="s">
        <v>103</v>
      </c>
      <c r="B180" s="67" t="s">
        <v>39</v>
      </c>
      <c r="C180" s="67" t="s">
        <v>66</v>
      </c>
      <c r="D180" s="67" t="s">
        <v>6</v>
      </c>
      <c r="E180" s="69">
        <v>3</v>
      </c>
      <c r="F180" s="68">
        <v>200</v>
      </c>
      <c r="G180" s="103">
        <v>0</v>
      </c>
      <c r="H180" s="103">
        <v>0</v>
      </c>
      <c r="I180" s="103">
        <v>0</v>
      </c>
    </row>
    <row r="181" spans="1:9" ht="24" outlineLevel="5">
      <c r="A181" s="48" t="s">
        <v>160</v>
      </c>
      <c r="B181" s="67" t="s">
        <v>39</v>
      </c>
      <c r="C181" s="67" t="s">
        <v>66</v>
      </c>
      <c r="D181" s="67" t="s">
        <v>6</v>
      </c>
      <c r="E181" s="69">
        <v>3</v>
      </c>
      <c r="F181" s="68">
        <v>600</v>
      </c>
      <c r="G181" s="103">
        <f>6000+263.1579+52.63158+599.174+13+939.9+19.18163</f>
        <v>7887.04511</v>
      </c>
      <c r="H181" s="103">
        <v>455.244</v>
      </c>
      <c r="I181" s="103">
        <f t="shared" si="6"/>
        <v>5.772047625577737</v>
      </c>
    </row>
    <row r="182" spans="1:9" ht="27" customHeight="1" outlineLevel="5">
      <c r="A182" s="48" t="s">
        <v>191</v>
      </c>
      <c r="B182" s="67" t="s">
        <v>39</v>
      </c>
      <c r="C182" s="67" t="s">
        <v>66</v>
      </c>
      <c r="D182" s="67" t="s">
        <v>6</v>
      </c>
      <c r="E182" s="69">
        <v>4</v>
      </c>
      <c r="F182" s="68"/>
      <c r="G182" s="103">
        <f>SUM(G183:G185)</f>
        <v>1649.87058</v>
      </c>
      <c r="H182" s="103">
        <f>SUM(H183:H185)</f>
        <v>0</v>
      </c>
      <c r="I182" s="103">
        <f t="shared" si="6"/>
        <v>0</v>
      </c>
    </row>
    <row r="183" spans="1:9" ht="24" customHeight="1" outlineLevel="5">
      <c r="A183" s="48" t="s">
        <v>103</v>
      </c>
      <c r="B183" s="67" t="s">
        <v>39</v>
      </c>
      <c r="C183" s="67" t="s">
        <v>66</v>
      </c>
      <c r="D183" s="67" t="s">
        <v>6</v>
      </c>
      <c r="E183" s="69">
        <v>4</v>
      </c>
      <c r="F183" s="68">
        <v>200</v>
      </c>
      <c r="G183" s="103">
        <f>38+27.239</f>
        <v>65.239</v>
      </c>
      <c r="H183" s="103">
        <f>38-38</f>
        <v>0</v>
      </c>
      <c r="I183" s="103">
        <f t="shared" si="6"/>
        <v>0</v>
      </c>
    </row>
    <row r="184" spans="1:9" ht="24" customHeight="1" outlineLevel="5">
      <c r="A184" s="48" t="s">
        <v>160</v>
      </c>
      <c r="B184" s="67" t="s">
        <v>39</v>
      </c>
      <c r="C184" s="67" t="s">
        <v>66</v>
      </c>
      <c r="D184" s="67" t="s">
        <v>6</v>
      </c>
      <c r="E184" s="69">
        <v>4</v>
      </c>
      <c r="F184" s="68">
        <v>600</v>
      </c>
      <c r="G184" s="103">
        <v>532</v>
      </c>
      <c r="H184" s="103">
        <f>532-532</f>
        <v>0</v>
      </c>
      <c r="I184" s="103">
        <f t="shared" si="6"/>
        <v>0</v>
      </c>
    </row>
    <row r="185" spans="1:9" ht="60.75" customHeight="1" outlineLevel="5">
      <c r="A185" s="48" t="s">
        <v>296</v>
      </c>
      <c r="B185" s="67" t="s">
        <v>39</v>
      </c>
      <c r="C185" s="67" t="s">
        <v>66</v>
      </c>
      <c r="D185" s="67" t="s">
        <v>6</v>
      </c>
      <c r="E185" s="69">
        <v>4</v>
      </c>
      <c r="F185" s="68">
        <v>600</v>
      </c>
      <c r="G185" s="103">
        <f>1000+52.63158</f>
        <v>1052.63158</v>
      </c>
      <c r="H185" s="103">
        <v>0</v>
      </c>
      <c r="I185" s="103">
        <f t="shared" si="6"/>
        <v>0</v>
      </c>
    </row>
    <row r="186" spans="1:9" ht="28.5" customHeight="1" hidden="1" outlineLevel="5">
      <c r="A186" s="48" t="s">
        <v>253</v>
      </c>
      <c r="B186" s="67" t="s">
        <v>39</v>
      </c>
      <c r="C186" s="67" t="s">
        <v>66</v>
      </c>
      <c r="D186" s="67" t="s">
        <v>18</v>
      </c>
      <c r="E186" s="69">
        <v>0</v>
      </c>
      <c r="F186" s="68"/>
      <c r="G186" s="103">
        <f>SUM(G187:G188)</f>
        <v>0</v>
      </c>
      <c r="H186" s="103">
        <f>SUM(H187:H188)</f>
        <v>0</v>
      </c>
      <c r="I186" s="103" t="e">
        <f t="shared" si="6"/>
        <v>#DIV/0!</v>
      </c>
    </row>
    <row r="187" spans="1:9" ht="61.5" customHeight="1" hidden="1" outlineLevel="5">
      <c r="A187" s="48" t="s">
        <v>300</v>
      </c>
      <c r="B187" s="67" t="s">
        <v>39</v>
      </c>
      <c r="C187" s="67" t="s">
        <v>66</v>
      </c>
      <c r="D187" s="67" t="s">
        <v>18</v>
      </c>
      <c r="E187" s="69">
        <v>0</v>
      </c>
      <c r="F187" s="68">
        <v>600</v>
      </c>
      <c r="G187" s="103">
        <v>0</v>
      </c>
      <c r="H187" s="103">
        <v>0</v>
      </c>
      <c r="I187" s="103" t="e">
        <f t="shared" si="6"/>
        <v>#DIV/0!</v>
      </c>
    </row>
    <row r="188" spans="1:9" ht="15.75" customHeight="1" hidden="1" outlineLevel="5">
      <c r="A188" s="48" t="s">
        <v>301</v>
      </c>
      <c r="B188" s="67" t="s">
        <v>39</v>
      </c>
      <c r="C188" s="67" t="s">
        <v>66</v>
      </c>
      <c r="D188" s="67" t="s">
        <v>18</v>
      </c>
      <c r="E188" s="69">
        <v>0</v>
      </c>
      <c r="F188" s="68">
        <v>600</v>
      </c>
      <c r="G188" s="103">
        <v>0</v>
      </c>
      <c r="H188" s="103">
        <v>0</v>
      </c>
      <c r="I188" s="103" t="e">
        <f t="shared" si="6"/>
        <v>#DIV/0!</v>
      </c>
    </row>
    <row r="189" spans="1:9" ht="47.25" customHeight="1" outlineLevel="3">
      <c r="A189" s="48" t="s">
        <v>246</v>
      </c>
      <c r="B189" s="67" t="s">
        <v>39</v>
      </c>
      <c r="C189" s="67" t="s">
        <v>66</v>
      </c>
      <c r="D189" s="67" t="s">
        <v>209</v>
      </c>
      <c r="E189" s="69">
        <v>0</v>
      </c>
      <c r="F189" s="68"/>
      <c r="G189" s="103">
        <f>SUM(G190:G191)</f>
        <v>898.282</v>
      </c>
      <c r="H189" s="103">
        <f>SUM(H190:H191)</f>
        <v>0</v>
      </c>
      <c r="I189" s="103">
        <f t="shared" si="6"/>
        <v>0</v>
      </c>
    </row>
    <row r="190" spans="1:9" ht="32.25" customHeight="1" outlineLevel="3">
      <c r="A190" s="48" t="s">
        <v>103</v>
      </c>
      <c r="B190" s="67" t="s">
        <v>39</v>
      </c>
      <c r="C190" s="67" t="s">
        <v>66</v>
      </c>
      <c r="D190" s="67" t="s">
        <v>209</v>
      </c>
      <c r="E190" s="69">
        <v>0</v>
      </c>
      <c r="F190" s="68">
        <v>200</v>
      </c>
      <c r="G190" s="103">
        <f>36+19.08</f>
        <v>55.08</v>
      </c>
      <c r="H190" s="103">
        <v>0</v>
      </c>
      <c r="I190" s="103">
        <f t="shared" si="6"/>
        <v>0</v>
      </c>
    </row>
    <row r="191" spans="1:9" ht="24" outlineLevel="3">
      <c r="A191" s="48" t="s">
        <v>160</v>
      </c>
      <c r="B191" s="67" t="s">
        <v>39</v>
      </c>
      <c r="C191" s="67" t="s">
        <v>66</v>
      </c>
      <c r="D191" s="67" t="s">
        <v>209</v>
      </c>
      <c r="E191" s="69">
        <v>0</v>
      </c>
      <c r="F191" s="68">
        <v>600</v>
      </c>
      <c r="G191" s="103">
        <f>766+77.202</f>
        <v>843.202</v>
      </c>
      <c r="H191" s="103">
        <v>0</v>
      </c>
      <c r="I191" s="103">
        <f t="shared" si="6"/>
        <v>0</v>
      </c>
    </row>
    <row r="192" spans="1:9" ht="24" outlineLevel="3">
      <c r="A192" s="48" t="s">
        <v>325</v>
      </c>
      <c r="B192" s="67" t="s">
        <v>39</v>
      </c>
      <c r="C192" s="67" t="s">
        <v>66</v>
      </c>
      <c r="D192" s="67" t="s">
        <v>20</v>
      </c>
      <c r="E192" s="69">
        <v>0</v>
      </c>
      <c r="F192" s="100"/>
      <c r="G192" s="104">
        <f>SUM(G193)</f>
        <v>175438.27964000002</v>
      </c>
      <c r="H192" s="104">
        <f>SUM(H193)</f>
        <v>36363.80053</v>
      </c>
      <c r="I192" s="103">
        <f t="shared" si="6"/>
        <v>20.727403736868972</v>
      </c>
    </row>
    <row r="193" spans="1:9" ht="12.75" outlineLevel="3">
      <c r="A193" s="48" t="s">
        <v>316</v>
      </c>
      <c r="B193" s="67" t="s">
        <v>39</v>
      </c>
      <c r="C193" s="67" t="s">
        <v>66</v>
      </c>
      <c r="D193" s="67" t="s">
        <v>20</v>
      </c>
      <c r="E193" s="69">
        <v>2</v>
      </c>
      <c r="F193" s="100"/>
      <c r="G193" s="104">
        <f>SUM(G194+G201)</f>
        <v>175438.27964000002</v>
      </c>
      <c r="H193" s="104">
        <f>SUM(H194+H201)</f>
        <v>36363.80053</v>
      </c>
      <c r="I193" s="103">
        <f t="shared" si="6"/>
        <v>20.727403736868972</v>
      </c>
    </row>
    <row r="194" spans="1:9" ht="18" customHeight="1" outlineLevel="3">
      <c r="A194" s="48" t="s">
        <v>70</v>
      </c>
      <c r="B194" s="67" t="s">
        <v>39</v>
      </c>
      <c r="C194" s="67" t="s">
        <v>66</v>
      </c>
      <c r="D194" s="67" t="s">
        <v>20</v>
      </c>
      <c r="E194" s="69">
        <v>2</v>
      </c>
      <c r="F194" s="68"/>
      <c r="G194" s="103">
        <f>SUM(G195:G200)</f>
        <v>23485.735689999998</v>
      </c>
      <c r="H194" s="103">
        <f>SUM(H195:H200)</f>
        <v>6544.34062</v>
      </c>
      <c r="I194" s="103">
        <f t="shared" si="6"/>
        <v>27.865171891492068</v>
      </c>
    </row>
    <row r="195" spans="1:9" ht="47.25" customHeight="1" outlineLevel="3">
      <c r="A195" s="48" t="s">
        <v>102</v>
      </c>
      <c r="B195" s="67" t="s">
        <v>39</v>
      </c>
      <c r="C195" s="67" t="s">
        <v>66</v>
      </c>
      <c r="D195" s="67" t="s">
        <v>20</v>
      </c>
      <c r="E195" s="69">
        <v>2</v>
      </c>
      <c r="F195" s="68">
        <v>100</v>
      </c>
      <c r="G195" s="103">
        <f>27.1+300</f>
        <v>327.1</v>
      </c>
      <c r="H195" s="103">
        <v>107.5835</v>
      </c>
      <c r="I195" s="103">
        <f t="shared" si="6"/>
        <v>32.8900947722409</v>
      </c>
    </row>
    <row r="196" spans="1:9" ht="24" outlineLevel="3">
      <c r="A196" s="48" t="s">
        <v>103</v>
      </c>
      <c r="B196" s="67" t="s">
        <v>39</v>
      </c>
      <c r="C196" s="67" t="s">
        <v>66</v>
      </c>
      <c r="D196" s="67" t="s">
        <v>20</v>
      </c>
      <c r="E196" s="69">
        <v>2</v>
      </c>
      <c r="F196" s="68">
        <v>200</v>
      </c>
      <c r="G196" s="103">
        <f>1147.4+264</f>
        <v>1411.4</v>
      </c>
      <c r="H196" s="103">
        <v>470.04706</v>
      </c>
      <c r="I196" s="103">
        <f t="shared" si="6"/>
        <v>33.303603514241175</v>
      </c>
    </row>
    <row r="197" spans="1:9" ht="48" outlineLevel="3">
      <c r="A197" s="48" t="s">
        <v>311</v>
      </c>
      <c r="B197" s="67" t="s">
        <v>39</v>
      </c>
      <c r="C197" s="67" t="s">
        <v>66</v>
      </c>
      <c r="D197" s="67" t="s">
        <v>20</v>
      </c>
      <c r="E197" s="69">
        <v>2</v>
      </c>
      <c r="F197" s="68">
        <v>200</v>
      </c>
      <c r="G197" s="103">
        <v>24.1</v>
      </c>
      <c r="H197" s="103">
        <v>0.42204</v>
      </c>
      <c r="I197" s="103">
        <f t="shared" si="6"/>
        <v>1.7512033195020746</v>
      </c>
    </row>
    <row r="198" spans="1:9" ht="12.75" outlineLevel="3">
      <c r="A198" s="48" t="s">
        <v>148</v>
      </c>
      <c r="B198" s="67" t="s">
        <v>39</v>
      </c>
      <c r="C198" s="67" t="s">
        <v>66</v>
      </c>
      <c r="D198" s="67" t="s">
        <v>20</v>
      </c>
      <c r="E198" s="69">
        <v>2</v>
      </c>
      <c r="F198" s="68">
        <v>800</v>
      </c>
      <c r="G198" s="103">
        <v>50.2</v>
      </c>
      <c r="H198" s="103">
        <v>10.00445</v>
      </c>
      <c r="I198" s="103">
        <f t="shared" si="6"/>
        <v>19.92918326693227</v>
      </c>
    </row>
    <row r="199" spans="1:9" ht="29.25" customHeight="1" outlineLevel="3">
      <c r="A199" s="48" t="s">
        <v>160</v>
      </c>
      <c r="B199" s="67" t="s">
        <v>39</v>
      </c>
      <c r="C199" s="67" t="s">
        <v>66</v>
      </c>
      <c r="D199" s="67" t="s">
        <v>20</v>
      </c>
      <c r="E199" s="69">
        <v>2</v>
      </c>
      <c r="F199" s="68">
        <v>600</v>
      </c>
      <c r="G199" s="103">
        <f>17111.4+1888.6+387+159.6+70+150</f>
        <v>19766.6</v>
      </c>
      <c r="H199" s="103">
        <v>5573.39172</v>
      </c>
      <c r="I199" s="103">
        <f t="shared" si="6"/>
        <v>28.196005989902158</v>
      </c>
    </row>
    <row r="200" spans="1:9" ht="52.5" customHeight="1" outlineLevel="3">
      <c r="A200" s="48" t="s">
        <v>337</v>
      </c>
      <c r="B200" s="67" t="s">
        <v>39</v>
      </c>
      <c r="C200" s="67" t="s">
        <v>66</v>
      </c>
      <c r="D200" s="67" t="s">
        <v>20</v>
      </c>
      <c r="E200" s="69">
        <v>2</v>
      </c>
      <c r="F200" s="68">
        <v>600</v>
      </c>
      <c r="G200" s="103">
        <f>1892.3+14.03569</f>
        <v>1906.3356899999999</v>
      </c>
      <c r="H200" s="103">
        <v>382.89185</v>
      </c>
      <c r="I200" s="103">
        <f t="shared" si="6"/>
        <v>20.085226962309036</v>
      </c>
    </row>
    <row r="201" spans="1:9" ht="18.75" customHeight="1" outlineLevel="3">
      <c r="A201" s="48" t="s">
        <v>165</v>
      </c>
      <c r="B201" s="67" t="s">
        <v>39</v>
      </c>
      <c r="C201" s="67" t="s">
        <v>66</v>
      </c>
      <c r="D201" s="67" t="s">
        <v>20</v>
      </c>
      <c r="E201" s="69">
        <v>2</v>
      </c>
      <c r="F201" s="68"/>
      <c r="G201" s="103">
        <f>SUM(G202:G214)</f>
        <v>151952.54395000002</v>
      </c>
      <c r="H201" s="103">
        <f>SUM(H202:H214)</f>
        <v>29819.45991</v>
      </c>
      <c r="I201" s="103">
        <f t="shared" si="6"/>
        <v>19.624192616223716</v>
      </c>
    </row>
    <row r="202" spans="1:9" ht="46.5" customHeight="1" outlineLevel="3">
      <c r="A202" s="48" t="s">
        <v>102</v>
      </c>
      <c r="B202" s="67" t="s">
        <v>39</v>
      </c>
      <c r="C202" s="67" t="s">
        <v>66</v>
      </c>
      <c r="D202" s="67" t="s">
        <v>20</v>
      </c>
      <c r="E202" s="69">
        <v>2</v>
      </c>
      <c r="F202" s="68">
        <v>100</v>
      </c>
      <c r="G202" s="103">
        <f>3873+2277.2+866.8-74.4-1056.6+857.1</f>
        <v>6743.1</v>
      </c>
      <c r="H202" s="103">
        <v>1318.38379</v>
      </c>
      <c r="I202" s="103">
        <f aca="true" t="shared" si="7" ref="I202:I265">SUM(H202/G202)*100</f>
        <v>19.551597781435838</v>
      </c>
    </row>
    <row r="203" spans="1:9" ht="36" hidden="1" outlineLevel="3">
      <c r="A203" s="48" t="s">
        <v>312</v>
      </c>
      <c r="B203" s="67" t="s">
        <v>39</v>
      </c>
      <c r="C203" s="67" t="s">
        <v>66</v>
      </c>
      <c r="D203" s="67" t="s">
        <v>20</v>
      </c>
      <c r="E203" s="69">
        <v>2</v>
      </c>
      <c r="F203" s="68">
        <v>100</v>
      </c>
      <c r="G203" s="103">
        <v>0</v>
      </c>
      <c r="H203" s="103">
        <v>0</v>
      </c>
      <c r="I203" s="103" t="e">
        <f t="shared" si="7"/>
        <v>#DIV/0!</v>
      </c>
    </row>
    <row r="204" spans="1:9" ht="36" outlineLevel="3">
      <c r="A204" s="48" t="s">
        <v>307</v>
      </c>
      <c r="B204" s="67" t="s">
        <v>39</v>
      </c>
      <c r="C204" s="67" t="s">
        <v>66</v>
      </c>
      <c r="D204" s="67" t="s">
        <v>20</v>
      </c>
      <c r="E204" s="69">
        <v>2</v>
      </c>
      <c r="F204" s="68">
        <v>100</v>
      </c>
      <c r="G204" s="103">
        <v>781.2</v>
      </c>
      <c r="H204" s="103">
        <v>195.3</v>
      </c>
      <c r="I204" s="103">
        <f t="shared" si="7"/>
        <v>25</v>
      </c>
    </row>
    <row r="205" spans="1:9" ht="27" customHeight="1" outlineLevel="3">
      <c r="A205" s="48" t="s">
        <v>103</v>
      </c>
      <c r="B205" s="67" t="s">
        <v>39</v>
      </c>
      <c r="C205" s="67" t="s">
        <v>66</v>
      </c>
      <c r="D205" s="67" t="s">
        <v>20</v>
      </c>
      <c r="E205" s="69">
        <v>2</v>
      </c>
      <c r="F205" s="68">
        <v>200</v>
      </c>
      <c r="G205" s="103">
        <f>522+0.6-79.6-254</f>
        <v>189</v>
      </c>
      <c r="H205" s="103">
        <v>0</v>
      </c>
      <c r="I205" s="103">
        <f t="shared" si="7"/>
        <v>0</v>
      </c>
    </row>
    <row r="206" spans="1:9" ht="16.5" customHeight="1" outlineLevel="3">
      <c r="A206" s="48" t="s">
        <v>69</v>
      </c>
      <c r="B206" s="67" t="s">
        <v>39</v>
      </c>
      <c r="C206" s="67" t="s">
        <v>66</v>
      </c>
      <c r="D206" s="67" t="s">
        <v>20</v>
      </c>
      <c r="E206" s="69">
        <v>2</v>
      </c>
      <c r="F206" s="68">
        <v>200</v>
      </c>
      <c r="G206" s="103">
        <f>105.45+12.35-43.8</f>
        <v>74</v>
      </c>
      <c r="H206" s="103">
        <v>1.2746</v>
      </c>
      <c r="I206" s="103">
        <f t="shared" si="7"/>
        <v>1.7224324324324323</v>
      </c>
    </row>
    <row r="207" spans="1:9" ht="34.5" customHeight="1" outlineLevel="3">
      <c r="A207" s="48" t="s">
        <v>310</v>
      </c>
      <c r="B207" s="67" t="s">
        <v>39</v>
      </c>
      <c r="C207" s="67" t="s">
        <v>66</v>
      </c>
      <c r="D207" s="67" t="s">
        <v>20</v>
      </c>
      <c r="E207" s="69">
        <v>2</v>
      </c>
      <c r="F207" s="68">
        <v>200</v>
      </c>
      <c r="G207" s="103">
        <f>74</f>
        <v>74</v>
      </c>
      <c r="H207" s="103">
        <v>1.29496</v>
      </c>
      <c r="I207" s="103">
        <f t="shared" si="7"/>
        <v>1.749945945945946</v>
      </c>
    </row>
    <row r="208" spans="1:9" ht="48" outlineLevel="3">
      <c r="A208" s="48" t="s">
        <v>332</v>
      </c>
      <c r="B208" s="67" t="s">
        <v>39</v>
      </c>
      <c r="C208" s="67" t="s">
        <v>66</v>
      </c>
      <c r="D208" s="67" t="s">
        <v>20</v>
      </c>
      <c r="E208" s="69">
        <v>2</v>
      </c>
      <c r="F208" s="68">
        <v>600</v>
      </c>
      <c r="G208" s="103">
        <f>5873.8-74+49.44895</f>
        <v>5849.24895</v>
      </c>
      <c r="H208" s="103">
        <v>1174.84554</v>
      </c>
      <c r="I208" s="103">
        <f t="shared" si="7"/>
        <v>20.08540840102215</v>
      </c>
    </row>
    <row r="209" spans="1:9" ht="15.75" customHeight="1" outlineLevel="3">
      <c r="A209" s="48" t="s">
        <v>68</v>
      </c>
      <c r="B209" s="67" t="s">
        <v>39</v>
      </c>
      <c r="C209" s="67" t="s">
        <v>66</v>
      </c>
      <c r="D209" s="67" t="s">
        <v>20</v>
      </c>
      <c r="E209" s="69">
        <v>2</v>
      </c>
      <c r="F209" s="68">
        <v>600</v>
      </c>
      <c r="G209" s="103">
        <f>116621.2+5473.3+74.4-0.6+413.6+79.6+1056.6-603.1</f>
        <v>123115</v>
      </c>
      <c r="H209" s="103">
        <v>23099.70244</v>
      </c>
      <c r="I209" s="103">
        <f t="shared" si="7"/>
        <v>18.76270352109816</v>
      </c>
    </row>
    <row r="210" spans="1:9" ht="1.5" customHeight="1" hidden="1" outlineLevel="3">
      <c r="A210" s="48" t="s">
        <v>313</v>
      </c>
      <c r="B210" s="67" t="s">
        <v>39</v>
      </c>
      <c r="C210" s="67" t="s">
        <v>66</v>
      </c>
      <c r="D210" s="67" t="s">
        <v>20</v>
      </c>
      <c r="E210" s="69">
        <v>2</v>
      </c>
      <c r="F210" s="68">
        <v>600</v>
      </c>
      <c r="G210" s="103">
        <v>0</v>
      </c>
      <c r="H210" s="103">
        <v>0</v>
      </c>
      <c r="I210" s="103" t="e">
        <f t="shared" si="7"/>
        <v>#DIV/0!</v>
      </c>
    </row>
    <row r="211" spans="1:9" ht="36" outlineLevel="3">
      <c r="A211" s="48" t="s">
        <v>307</v>
      </c>
      <c r="B211" s="67" t="s">
        <v>39</v>
      </c>
      <c r="C211" s="67" t="s">
        <v>66</v>
      </c>
      <c r="D211" s="67" t="s">
        <v>20</v>
      </c>
      <c r="E211" s="69">
        <v>2</v>
      </c>
      <c r="F211" s="68">
        <v>600</v>
      </c>
      <c r="G211" s="103">
        <f>11327.4-781.2</f>
        <v>10546.199999999999</v>
      </c>
      <c r="H211" s="103">
        <v>3188.75691</v>
      </c>
      <c r="I211" s="103">
        <f t="shared" si="7"/>
        <v>30.23607469989191</v>
      </c>
    </row>
    <row r="212" spans="1:9" ht="14.25" customHeight="1" outlineLevel="3">
      <c r="A212" s="48" t="s">
        <v>69</v>
      </c>
      <c r="B212" s="67" t="s">
        <v>39</v>
      </c>
      <c r="C212" s="67" t="s">
        <v>66</v>
      </c>
      <c r="D212" s="67" t="s">
        <v>20</v>
      </c>
      <c r="E212" s="69">
        <v>2</v>
      </c>
      <c r="F212" s="68">
        <v>600</v>
      </c>
      <c r="G212" s="103">
        <f>3505.35+1007.8-12.35-243.9+43.8-0.005</f>
        <v>4300.695</v>
      </c>
      <c r="H212" s="103">
        <v>839.90167</v>
      </c>
      <c r="I212" s="103">
        <f t="shared" si="7"/>
        <v>19.52944047415592</v>
      </c>
    </row>
    <row r="213" spans="1:9" ht="27.75" customHeight="1" hidden="1" outlineLevel="3">
      <c r="A213" s="48" t="s">
        <v>326</v>
      </c>
      <c r="B213" s="67" t="s">
        <v>39</v>
      </c>
      <c r="C213" s="67" t="s">
        <v>66</v>
      </c>
      <c r="D213" s="67" t="s">
        <v>20</v>
      </c>
      <c r="E213" s="69">
        <v>2</v>
      </c>
      <c r="F213" s="68">
        <v>600</v>
      </c>
      <c r="G213" s="103">
        <f>200-200</f>
        <v>0</v>
      </c>
      <c r="H213" s="103">
        <v>0</v>
      </c>
      <c r="I213" s="103">
        <v>0</v>
      </c>
    </row>
    <row r="214" spans="1:9" ht="24" customHeight="1" outlineLevel="3">
      <c r="A214" s="48" t="s">
        <v>164</v>
      </c>
      <c r="B214" s="67" t="s">
        <v>39</v>
      </c>
      <c r="C214" s="67" t="s">
        <v>66</v>
      </c>
      <c r="D214" s="67" t="s">
        <v>20</v>
      </c>
      <c r="E214" s="69">
        <v>2</v>
      </c>
      <c r="F214" s="68">
        <v>600</v>
      </c>
      <c r="G214" s="103">
        <f>304.2-24.1</f>
        <v>280.09999999999997</v>
      </c>
      <c r="H214" s="103">
        <v>0</v>
      </c>
      <c r="I214" s="103">
        <f t="shared" si="7"/>
        <v>0</v>
      </c>
    </row>
    <row r="215" spans="1:9" ht="13.5" customHeight="1" outlineLevel="1">
      <c r="A215" s="48" t="s">
        <v>213</v>
      </c>
      <c r="B215" s="67" t="s">
        <v>39</v>
      </c>
      <c r="C215" s="67" t="s">
        <v>214</v>
      </c>
      <c r="D215" s="67"/>
      <c r="E215" s="69"/>
      <c r="F215" s="68"/>
      <c r="G215" s="103">
        <f>SUM(G219+G216)</f>
        <v>9900</v>
      </c>
      <c r="H215" s="103">
        <f>SUM(H219+H216)</f>
        <v>2250.3069</v>
      </c>
      <c r="I215" s="103">
        <f t="shared" si="7"/>
        <v>22.730372727272727</v>
      </c>
    </row>
    <row r="216" spans="1:9" ht="0.75" customHeight="1" hidden="1" outlineLevel="1">
      <c r="A216" s="48" t="s">
        <v>269</v>
      </c>
      <c r="B216" s="67" t="s">
        <v>39</v>
      </c>
      <c r="C216" s="67" t="s">
        <v>214</v>
      </c>
      <c r="D216" s="67" t="s">
        <v>6</v>
      </c>
      <c r="E216" s="69">
        <v>0</v>
      </c>
      <c r="F216" s="68"/>
      <c r="G216" s="103">
        <f>SUM(G217)</f>
        <v>0</v>
      </c>
      <c r="H216" s="103">
        <f>SUM(H217)</f>
        <v>0</v>
      </c>
      <c r="I216" s="103" t="e">
        <f t="shared" si="7"/>
        <v>#DIV/0!</v>
      </c>
    </row>
    <row r="217" spans="1:9" ht="24" hidden="1" outlineLevel="1">
      <c r="A217" s="48" t="s">
        <v>208</v>
      </c>
      <c r="B217" s="67" t="s">
        <v>39</v>
      </c>
      <c r="C217" s="67" t="s">
        <v>214</v>
      </c>
      <c r="D217" s="67" t="s">
        <v>6</v>
      </c>
      <c r="E217" s="69">
        <v>3</v>
      </c>
      <c r="F217" s="68"/>
      <c r="G217" s="103">
        <f>SUM(G218:G218)</f>
        <v>0</v>
      </c>
      <c r="H217" s="103">
        <f>SUM(H218:H218)</f>
        <v>0</v>
      </c>
      <c r="I217" s="103" t="e">
        <f t="shared" si="7"/>
        <v>#DIV/0!</v>
      </c>
    </row>
    <row r="218" spans="1:9" ht="24" hidden="1" outlineLevel="1">
      <c r="A218" s="48" t="s">
        <v>160</v>
      </c>
      <c r="B218" s="67" t="s">
        <v>39</v>
      </c>
      <c r="C218" s="67" t="s">
        <v>214</v>
      </c>
      <c r="D218" s="67" t="s">
        <v>6</v>
      </c>
      <c r="E218" s="69">
        <v>3</v>
      </c>
      <c r="F218" s="68">
        <v>600</v>
      </c>
      <c r="G218" s="103">
        <v>0</v>
      </c>
      <c r="H218" s="103">
        <v>0</v>
      </c>
      <c r="I218" s="103" t="e">
        <f t="shared" si="7"/>
        <v>#DIV/0!</v>
      </c>
    </row>
    <row r="219" spans="1:9" ht="39.75" customHeight="1" outlineLevel="1">
      <c r="A219" s="48" t="s">
        <v>325</v>
      </c>
      <c r="B219" s="67" t="s">
        <v>39</v>
      </c>
      <c r="C219" s="67" t="s">
        <v>214</v>
      </c>
      <c r="D219" s="67" t="s">
        <v>20</v>
      </c>
      <c r="E219" s="69">
        <v>0</v>
      </c>
      <c r="F219" s="68"/>
      <c r="G219" s="103">
        <f>SUM(G220)</f>
        <v>9900</v>
      </c>
      <c r="H219" s="103">
        <f>SUM(H220)</f>
        <v>2250.3069</v>
      </c>
      <c r="I219" s="103">
        <f t="shared" si="7"/>
        <v>22.730372727272727</v>
      </c>
    </row>
    <row r="220" spans="1:9" ht="20.25" customHeight="1" outlineLevel="1">
      <c r="A220" s="48" t="s">
        <v>317</v>
      </c>
      <c r="B220" s="67" t="s">
        <v>39</v>
      </c>
      <c r="C220" s="67" t="s">
        <v>214</v>
      </c>
      <c r="D220" s="67" t="s">
        <v>20</v>
      </c>
      <c r="E220" s="69">
        <v>3</v>
      </c>
      <c r="F220" s="68"/>
      <c r="G220" s="103">
        <f>SUM(G221:G222)</f>
        <v>9900</v>
      </c>
      <c r="H220" s="103">
        <f>SUM(H221:H222)</f>
        <v>2250.3069</v>
      </c>
      <c r="I220" s="103">
        <f t="shared" si="7"/>
        <v>22.730372727272727</v>
      </c>
    </row>
    <row r="221" spans="1:9" ht="28.5" customHeight="1" outlineLevel="1">
      <c r="A221" s="48" t="s">
        <v>331</v>
      </c>
      <c r="B221" s="67" t="s">
        <v>39</v>
      </c>
      <c r="C221" s="67" t="s">
        <v>214</v>
      </c>
      <c r="D221" s="67" t="s">
        <v>20</v>
      </c>
      <c r="E221" s="69">
        <v>3</v>
      </c>
      <c r="F221" s="68">
        <v>600</v>
      </c>
      <c r="G221" s="103">
        <f>4300+1500</f>
        <v>5800</v>
      </c>
      <c r="H221" s="103">
        <v>1439.63264</v>
      </c>
      <c r="I221" s="103">
        <f t="shared" si="7"/>
        <v>24.821252413793104</v>
      </c>
    </row>
    <row r="222" spans="1:9" ht="24" customHeight="1" outlineLevel="1">
      <c r="A222" s="48" t="s">
        <v>330</v>
      </c>
      <c r="B222" s="67" t="s">
        <v>39</v>
      </c>
      <c r="C222" s="67" t="s">
        <v>214</v>
      </c>
      <c r="D222" s="67" t="s">
        <v>20</v>
      </c>
      <c r="E222" s="69">
        <v>3</v>
      </c>
      <c r="F222" s="68">
        <v>600</v>
      </c>
      <c r="G222" s="103">
        <v>4100</v>
      </c>
      <c r="H222" s="103">
        <v>810.67426</v>
      </c>
      <c r="I222" s="103">
        <f t="shared" si="7"/>
        <v>19.772542926829267</v>
      </c>
    </row>
    <row r="223" spans="1:9" ht="15" customHeight="1" outlineLevel="1">
      <c r="A223" s="49" t="s">
        <v>322</v>
      </c>
      <c r="B223" s="67" t="s">
        <v>39</v>
      </c>
      <c r="C223" s="67" t="s">
        <v>72</v>
      </c>
      <c r="D223" s="67" t="s">
        <v>0</v>
      </c>
      <c r="E223" s="69" t="s">
        <v>0</v>
      </c>
      <c r="F223" s="68"/>
      <c r="G223" s="103">
        <f>SUM(G224+G233+G235)</f>
        <v>6284.889</v>
      </c>
      <c r="H223" s="103">
        <f>SUM(H224+H233+H235)</f>
        <v>1104.51357</v>
      </c>
      <c r="I223" s="103">
        <f t="shared" si="7"/>
        <v>17.574114196766246</v>
      </c>
    </row>
    <row r="224" spans="1:9" ht="60" outlineLevel="1">
      <c r="A224" s="49" t="s">
        <v>251</v>
      </c>
      <c r="B224" s="67" t="s">
        <v>39</v>
      </c>
      <c r="C224" s="67" t="s">
        <v>72</v>
      </c>
      <c r="D224" s="67" t="s">
        <v>24</v>
      </c>
      <c r="E224" s="69">
        <v>0</v>
      </c>
      <c r="F224" s="68"/>
      <c r="G224" s="103">
        <f>SUM(G225+G227+G229)</f>
        <v>100</v>
      </c>
      <c r="H224" s="103">
        <f>SUM(H225+H227+H229)</f>
        <v>0</v>
      </c>
      <c r="I224" s="103">
        <f t="shared" si="7"/>
        <v>0</v>
      </c>
    </row>
    <row r="225" spans="1:9" ht="24" customHeight="1" outlineLevel="3">
      <c r="A225" s="48" t="s">
        <v>166</v>
      </c>
      <c r="B225" s="67" t="s">
        <v>39</v>
      </c>
      <c r="C225" s="67" t="s">
        <v>72</v>
      </c>
      <c r="D225" s="67" t="s">
        <v>24</v>
      </c>
      <c r="E225" s="69">
        <v>1</v>
      </c>
      <c r="F225" s="68"/>
      <c r="G225" s="103">
        <f>SUM(G226)</f>
        <v>30</v>
      </c>
      <c r="H225" s="103">
        <f>SUM(H226)</f>
        <v>0</v>
      </c>
      <c r="I225" s="103">
        <f t="shared" si="7"/>
        <v>0</v>
      </c>
    </row>
    <row r="226" spans="1:9" ht="21.75" customHeight="1" outlineLevel="3">
      <c r="A226" s="48" t="s">
        <v>103</v>
      </c>
      <c r="B226" s="67" t="s">
        <v>39</v>
      </c>
      <c r="C226" s="67" t="s">
        <v>72</v>
      </c>
      <c r="D226" s="67" t="s">
        <v>24</v>
      </c>
      <c r="E226" s="69">
        <v>1</v>
      </c>
      <c r="F226" s="68">
        <v>200</v>
      </c>
      <c r="G226" s="103">
        <f>50-20</f>
        <v>30</v>
      </c>
      <c r="H226" s="103">
        <v>0</v>
      </c>
      <c r="I226" s="103">
        <f t="shared" si="7"/>
        <v>0</v>
      </c>
    </row>
    <row r="227" spans="1:9" s="15" customFormat="1" ht="29.25" customHeight="1" outlineLevel="2">
      <c r="A227" s="48" t="s">
        <v>167</v>
      </c>
      <c r="B227" s="67" t="s">
        <v>39</v>
      </c>
      <c r="C227" s="67" t="s">
        <v>72</v>
      </c>
      <c r="D227" s="67" t="s">
        <v>24</v>
      </c>
      <c r="E227" s="69">
        <v>2</v>
      </c>
      <c r="F227" s="68"/>
      <c r="G227" s="103">
        <f>SUM(G228:G228)</f>
        <v>40</v>
      </c>
      <c r="H227" s="103">
        <f>SUM(H228:H228)</f>
        <v>0</v>
      </c>
      <c r="I227" s="103">
        <f t="shared" si="7"/>
        <v>0</v>
      </c>
    </row>
    <row r="228" spans="1:9" s="15" customFormat="1" ht="27.75" customHeight="1" outlineLevel="2">
      <c r="A228" s="48" t="s">
        <v>103</v>
      </c>
      <c r="B228" s="67" t="s">
        <v>39</v>
      </c>
      <c r="C228" s="67" t="s">
        <v>72</v>
      </c>
      <c r="D228" s="67" t="s">
        <v>24</v>
      </c>
      <c r="E228" s="69">
        <v>2</v>
      </c>
      <c r="F228" s="68">
        <v>200</v>
      </c>
      <c r="G228" s="103">
        <f>100-60</f>
        <v>40</v>
      </c>
      <c r="H228" s="103">
        <v>0</v>
      </c>
      <c r="I228" s="103">
        <f t="shared" si="7"/>
        <v>0</v>
      </c>
    </row>
    <row r="229" spans="1:9" s="15" customFormat="1" ht="24.75" customHeight="1" outlineLevel="2">
      <c r="A229" s="48" t="s">
        <v>237</v>
      </c>
      <c r="B229" s="67" t="s">
        <v>39</v>
      </c>
      <c r="C229" s="67" t="s">
        <v>72</v>
      </c>
      <c r="D229" s="67" t="s">
        <v>24</v>
      </c>
      <c r="E229" s="69">
        <v>3</v>
      </c>
      <c r="F229" s="68"/>
      <c r="G229" s="103">
        <f>SUM(G230:G232)</f>
        <v>30</v>
      </c>
      <c r="H229" s="103">
        <f>SUM(H230:H232)</f>
        <v>0</v>
      </c>
      <c r="I229" s="103">
        <f t="shared" si="7"/>
        <v>0</v>
      </c>
    </row>
    <row r="230" spans="1:9" s="15" customFormat="1" ht="25.5" customHeight="1" outlineLevel="2">
      <c r="A230" s="48" t="s">
        <v>103</v>
      </c>
      <c r="B230" s="67" t="s">
        <v>39</v>
      </c>
      <c r="C230" s="67" t="s">
        <v>72</v>
      </c>
      <c r="D230" s="67" t="s">
        <v>24</v>
      </c>
      <c r="E230" s="69">
        <v>3</v>
      </c>
      <c r="F230" s="68">
        <v>200</v>
      </c>
      <c r="G230" s="103">
        <f>50-20</f>
        <v>30</v>
      </c>
      <c r="H230" s="103">
        <v>0</v>
      </c>
      <c r="I230" s="103">
        <f t="shared" si="7"/>
        <v>0</v>
      </c>
    </row>
    <row r="231" spans="1:9" s="15" customFormat="1" ht="24" hidden="1" outlineLevel="2">
      <c r="A231" s="48" t="s">
        <v>103</v>
      </c>
      <c r="B231" s="67" t="s">
        <v>39</v>
      </c>
      <c r="C231" s="67" t="s">
        <v>72</v>
      </c>
      <c r="D231" s="67" t="s">
        <v>24</v>
      </c>
      <c r="E231" s="69">
        <v>3</v>
      </c>
      <c r="F231" s="68">
        <v>200</v>
      </c>
      <c r="G231" s="103">
        <v>0</v>
      </c>
      <c r="H231" s="103">
        <v>0</v>
      </c>
      <c r="I231" s="103" t="e">
        <f t="shared" si="7"/>
        <v>#DIV/0!</v>
      </c>
    </row>
    <row r="232" spans="1:9" s="15" customFormat="1" ht="22.5" customHeight="1" hidden="1" outlineLevel="2">
      <c r="A232" s="48" t="s">
        <v>103</v>
      </c>
      <c r="B232" s="67" t="s">
        <v>39</v>
      </c>
      <c r="C232" s="67" t="s">
        <v>72</v>
      </c>
      <c r="D232" s="67" t="s">
        <v>24</v>
      </c>
      <c r="E232" s="69">
        <v>3</v>
      </c>
      <c r="F232" s="68">
        <v>200</v>
      </c>
      <c r="G232" s="103">
        <v>0</v>
      </c>
      <c r="H232" s="103">
        <v>0</v>
      </c>
      <c r="I232" s="103" t="e">
        <f t="shared" si="7"/>
        <v>#DIV/0!</v>
      </c>
    </row>
    <row r="233" spans="1:9" ht="35.25" customHeight="1" outlineLevel="3">
      <c r="A233" s="49" t="s">
        <v>266</v>
      </c>
      <c r="B233" s="67" t="s">
        <v>39</v>
      </c>
      <c r="C233" s="67" t="s">
        <v>72</v>
      </c>
      <c r="D233" s="67" t="s">
        <v>21</v>
      </c>
      <c r="E233" s="69">
        <v>0</v>
      </c>
      <c r="F233" s="68"/>
      <c r="G233" s="103">
        <f>SUM(G234)</f>
        <v>4500</v>
      </c>
      <c r="H233" s="103">
        <f>SUM(H234)</f>
        <v>1104.51357</v>
      </c>
      <c r="I233" s="103">
        <f t="shared" si="7"/>
        <v>24.544746</v>
      </c>
    </row>
    <row r="234" spans="1:9" ht="22.5" customHeight="1" outlineLevel="2">
      <c r="A234" s="48" t="s">
        <v>160</v>
      </c>
      <c r="B234" s="67" t="s">
        <v>39</v>
      </c>
      <c r="C234" s="67" t="s">
        <v>72</v>
      </c>
      <c r="D234" s="67" t="s">
        <v>21</v>
      </c>
      <c r="E234" s="69">
        <v>0</v>
      </c>
      <c r="F234" s="68">
        <v>600</v>
      </c>
      <c r="G234" s="103">
        <f>3100+1400</f>
        <v>4500</v>
      </c>
      <c r="H234" s="103">
        <v>1104.51357</v>
      </c>
      <c r="I234" s="103">
        <f t="shared" si="7"/>
        <v>24.544746</v>
      </c>
    </row>
    <row r="235" spans="1:9" ht="12.75" outlineLevel="3">
      <c r="A235" s="49" t="s">
        <v>168</v>
      </c>
      <c r="B235" s="67" t="s">
        <v>39</v>
      </c>
      <c r="C235" s="67" t="s">
        <v>72</v>
      </c>
      <c r="D235" s="67" t="s">
        <v>16</v>
      </c>
      <c r="E235" s="69">
        <v>0</v>
      </c>
      <c r="F235" s="68"/>
      <c r="G235" s="103">
        <f>SUM(G236)</f>
        <v>1684.889</v>
      </c>
      <c r="H235" s="103">
        <f>SUM(H236)</f>
        <v>0</v>
      </c>
      <c r="I235" s="103">
        <f t="shared" si="7"/>
        <v>0</v>
      </c>
    </row>
    <row r="236" spans="1:9" ht="24" outlineLevel="3">
      <c r="A236" s="48" t="s">
        <v>159</v>
      </c>
      <c r="B236" s="67" t="s">
        <v>39</v>
      </c>
      <c r="C236" s="67" t="s">
        <v>72</v>
      </c>
      <c r="D236" s="67" t="s">
        <v>16</v>
      </c>
      <c r="E236" s="69">
        <v>0</v>
      </c>
      <c r="F236" s="68"/>
      <c r="G236" s="103">
        <f>SUM(G237:G238)</f>
        <v>1684.889</v>
      </c>
      <c r="H236" s="103">
        <f>SUM(H237:H238)</f>
        <v>0</v>
      </c>
      <c r="I236" s="103">
        <f t="shared" si="7"/>
        <v>0</v>
      </c>
    </row>
    <row r="237" spans="1:9" ht="36" outlineLevel="1">
      <c r="A237" s="49" t="s">
        <v>169</v>
      </c>
      <c r="B237" s="67" t="s">
        <v>39</v>
      </c>
      <c r="C237" s="67" t="s">
        <v>72</v>
      </c>
      <c r="D237" s="67" t="s">
        <v>16</v>
      </c>
      <c r="E237" s="69">
        <v>0</v>
      </c>
      <c r="F237" s="68">
        <v>600</v>
      </c>
      <c r="G237" s="103">
        <f>1428.8+79.1+8.5</f>
        <v>1516.3999999999999</v>
      </c>
      <c r="H237" s="103">
        <v>0</v>
      </c>
      <c r="I237" s="103">
        <f t="shared" si="7"/>
        <v>0</v>
      </c>
    </row>
    <row r="238" spans="1:9" ht="25.5" customHeight="1" outlineLevel="1">
      <c r="A238" s="48" t="s">
        <v>160</v>
      </c>
      <c r="B238" s="67" t="s">
        <v>39</v>
      </c>
      <c r="C238" s="67" t="s">
        <v>72</v>
      </c>
      <c r="D238" s="67" t="s">
        <v>16</v>
      </c>
      <c r="E238" s="69">
        <v>0</v>
      </c>
      <c r="F238" s="68">
        <v>600</v>
      </c>
      <c r="G238" s="103">
        <f>71.5+3.9+93.1-0.011</f>
        <v>168.489</v>
      </c>
      <c r="H238" s="103">
        <v>0</v>
      </c>
      <c r="I238" s="103">
        <f t="shared" si="7"/>
        <v>0</v>
      </c>
    </row>
    <row r="239" spans="1:9" ht="18" customHeight="1" outlineLevel="1">
      <c r="A239" s="48" t="s">
        <v>73</v>
      </c>
      <c r="B239" s="67" t="s">
        <v>39</v>
      </c>
      <c r="C239" s="67" t="s">
        <v>74</v>
      </c>
      <c r="D239" s="67"/>
      <c r="E239" s="69"/>
      <c r="F239" s="68"/>
      <c r="G239" s="103">
        <f>SUM(G242+G240)</f>
        <v>1315</v>
      </c>
      <c r="H239" s="103">
        <f>SUM(H242+H240)</f>
        <v>253.27864</v>
      </c>
      <c r="I239" s="103">
        <f t="shared" si="7"/>
        <v>19.26073307984791</v>
      </c>
    </row>
    <row r="240" spans="1:9" ht="60" outlineLevel="1">
      <c r="A240" s="48" t="s">
        <v>259</v>
      </c>
      <c r="B240" s="67" t="s">
        <v>39</v>
      </c>
      <c r="C240" s="67" t="s">
        <v>74</v>
      </c>
      <c r="D240" s="67" t="s">
        <v>210</v>
      </c>
      <c r="E240" s="69">
        <v>0</v>
      </c>
      <c r="F240" s="70"/>
      <c r="G240" s="103">
        <f>SUM(G241)</f>
        <v>20</v>
      </c>
      <c r="H240" s="103">
        <f>SUM(H241)</f>
        <v>0</v>
      </c>
      <c r="I240" s="103">
        <f t="shared" si="7"/>
        <v>0</v>
      </c>
    </row>
    <row r="241" spans="1:9" ht="21" customHeight="1" outlineLevel="1">
      <c r="A241" s="48" t="s">
        <v>161</v>
      </c>
      <c r="B241" s="67" t="s">
        <v>39</v>
      </c>
      <c r="C241" s="67" t="s">
        <v>74</v>
      </c>
      <c r="D241" s="67" t="s">
        <v>210</v>
      </c>
      <c r="E241" s="69">
        <v>0</v>
      </c>
      <c r="F241" s="70">
        <v>300</v>
      </c>
      <c r="G241" s="103">
        <f>20</f>
        <v>20</v>
      </c>
      <c r="H241" s="103">
        <v>0</v>
      </c>
      <c r="I241" s="103">
        <f t="shared" si="7"/>
        <v>0</v>
      </c>
    </row>
    <row r="242" spans="1:9" ht="44.25" customHeight="1" outlineLevel="1">
      <c r="A242" s="49" t="s">
        <v>272</v>
      </c>
      <c r="B242" s="67" t="s">
        <v>39</v>
      </c>
      <c r="C242" s="67" t="s">
        <v>74</v>
      </c>
      <c r="D242" s="67" t="s">
        <v>22</v>
      </c>
      <c r="E242" s="69">
        <v>0</v>
      </c>
      <c r="F242" s="68"/>
      <c r="G242" s="103">
        <f>SUM(G243:G245)</f>
        <v>1295</v>
      </c>
      <c r="H242" s="103">
        <f>SUM(H243:H245)</f>
        <v>253.27864</v>
      </c>
      <c r="I242" s="103">
        <f t="shared" si="7"/>
        <v>19.558196138996138</v>
      </c>
    </row>
    <row r="243" spans="1:9" ht="23.25" customHeight="1" outlineLevel="1">
      <c r="A243" s="48" t="s">
        <v>102</v>
      </c>
      <c r="B243" s="67" t="s">
        <v>39</v>
      </c>
      <c r="C243" s="67" t="s">
        <v>74</v>
      </c>
      <c r="D243" s="67" t="s">
        <v>22</v>
      </c>
      <c r="E243" s="69">
        <v>0</v>
      </c>
      <c r="F243" s="68">
        <v>100</v>
      </c>
      <c r="G243" s="103">
        <f>570+470+200+0.2</f>
        <v>1240.2</v>
      </c>
      <c r="H243" s="103">
        <v>253.27864</v>
      </c>
      <c r="I243" s="103">
        <f t="shared" si="7"/>
        <v>20.422402838251895</v>
      </c>
    </row>
    <row r="244" spans="1:9" ht="24" outlineLevel="1">
      <c r="A244" s="48" t="s">
        <v>103</v>
      </c>
      <c r="B244" s="67" t="s">
        <v>39</v>
      </c>
      <c r="C244" s="67" t="s">
        <v>74</v>
      </c>
      <c r="D244" s="67" t="s">
        <v>22</v>
      </c>
      <c r="E244" s="69">
        <v>0</v>
      </c>
      <c r="F244" s="68">
        <v>200</v>
      </c>
      <c r="G244" s="103">
        <v>54.8</v>
      </c>
      <c r="H244" s="103">
        <v>0</v>
      </c>
      <c r="I244" s="103">
        <f t="shared" si="7"/>
        <v>0</v>
      </c>
    </row>
    <row r="245" spans="1:9" ht="15.75" customHeight="1" hidden="1" outlineLevel="1">
      <c r="A245" s="48" t="s">
        <v>148</v>
      </c>
      <c r="B245" s="67" t="s">
        <v>39</v>
      </c>
      <c r="C245" s="67" t="s">
        <v>74</v>
      </c>
      <c r="D245" s="67" t="s">
        <v>22</v>
      </c>
      <c r="E245" s="69">
        <v>0</v>
      </c>
      <c r="F245" s="68">
        <v>800</v>
      </c>
      <c r="G245" s="103">
        <f>0.2-0.2</f>
        <v>0</v>
      </c>
      <c r="H245" s="103">
        <f>0.2-0.2</f>
        <v>0</v>
      </c>
      <c r="I245" s="103">
        <v>0</v>
      </c>
    </row>
    <row r="246" spans="1:9" ht="12.75" outlineLevel="1">
      <c r="A246" s="48" t="s">
        <v>75</v>
      </c>
      <c r="B246" s="67" t="s">
        <v>39</v>
      </c>
      <c r="C246" s="67" t="s">
        <v>117</v>
      </c>
      <c r="D246" s="67"/>
      <c r="E246" s="69"/>
      <c r="F246" s="68"/>
      <c r="G246" s="103">
        <f>SUM(G247+G264+G266)</f>
        <v>33602.03</v>
      </c>
      <c r="H246" s="103">
        <f>SUM(H247+H264+H266)</f>
        <v>2728.04316</v>
      </c>
      <c r="I246" s="103">
        <f t="shared" si="7"/>
        <v>8.118685567508868</v>
      </c>
    </row>
    <row r="247" spans="1:9" ht="15" customHeight="1" outlineLevel="1">
      <c r="A247" s="48" t="s">
        <v>118</v>
      </c>
      <c r="B247" s="67" t="s">
        <v>39</v>
      </c>
      <c r="C247" s="67" t="s">
        <v>81</v>
      </c>
      <c r="D247" s="67"/>
      <c r="E247" s="69"/>
      <c r="F247" s="68"/>
      <c r="G247" s="103">
        <f>SUM(G248+G251+G253+G258+G260+G262+G255)</f>
        <v>31893.03</v>
      </c>
      <c r="H247" s="103">
        <f>SUM(H248+H251+H253+H258+H260+H262+H255)</f>
        <v>2405.41267</v>
      </c>
      <c r="I247" s="103">
        <f t="shared" si="7"/>
        <v>7.54212650851926</v>
      </c>
    </row>
    <row r="248" spans="1:9" ht="24" outlineLevel="1">
      <c r="A248" s="48" t="s">
        <v>336</v>
      </c>
      <c r="B248" s="67" t="s">
        <v>39</v>
      </c>
      <c r="C248" s="67" t="s">
        <v>81</v>
      </c>
      <c r="D248" s="67" t="s">
        <v>333</v>
      </c>
      <c r="E248" s="69">
        <v>0</v>
      </c>
      <c r="F248" s="68"/>
      <c r="G248" s="103">
        <f>SUM(G249:G250)</f>
        <v>20202.03</v>
      </c>
      <c r="H248" s="103">
        <f>SUM(H249:H250)</f>
        <v>0</v>
      </c>
      <c r="I248" s="103">
        <f t="shared" si="7"/>
        <v>0</v>
      </c>
    </row>
    <row r="249" spans="1:9" ht="24" outlineLevel="2">
      <c r="A249" s="48" t="s">
        <v>160</v>
      </c>
      <c r="B249" s="67" t="s">
        <v>39</v>
      </c>
      <c r="C249" s="67" t="s">
        <v>81</v>
      </c>
      <c r="D249" s="67" t="s">
        <v>333</v>
      </c>
      <c r="E249" s="69">
        <v>0</v>
      </c>
      <c r="F249" s="68">
        <v>600</v>
      </c>
      <c r="G249" s="103">
        <v>20000</v>
      </c>
      <c r="H249" s="103">
        <v>0</v>
      </c>
      <c r="I249" s="103">
        <f t="shared" si="7"/>
        <v>0</v>
      </c>
    </row>
    <row r="250" spans="1:9" ht="108" outlineLevel="5">
      <c r="A250" s="48" t="s">
        <v>327</v>
      </c>
      <c r="B250" s="67" t="s">
        <v>39</v>
      </c>
      <c r="C250" s="67" t="s">
        <v>81</v>
      </c>
      <c r="D250" s="67" t="s">
        <v>333</v>
      </c>
      <c r="E250" s="69">
        <v>0</v>
      </c>
      <c r="F250" s="68">
        <v>600</v>
      </c>
      <c r="G250" s="103">
        <f>202.03</f>
        <v>202.03</v>
      </c>
      <c r="H250" s="103">
        <v>0</v>
      </c>
      <c r="I250" s="103">
        <f t="shared" si="7"/>
        <v>0</v>
      </c>
    </row>
    <row r="251" spans="1:9" ht="25.5" customHeight="1" outlineLevel="1">
      <c r="A251" s="48" t="s">
        <v>270</v>
      </c>
      <c r="B251" s="67" t="s">
        <v>39</v>
      </c>
      <c r="C251" s="67" t="s">
        <v>81</v>
      </c>
      <c r="D251" s="67" t="s">
        <v>5</v>
      </c>
      <c r="E251" s="69">
        <v>0</v>
      </c>
      <c r="F251" s="70"/>
      <c r="G251" s="103">
        <f>SUM(G252)</f>
        <v>50</v>
      </c>
      <c r="H251" s="103">
        <f>SUM(H252)</f>
        <v>0</v>
      </c>
      <c r="I251" s="103">
        <f t="shared" si="7"/>
        <v>0</v>
      </c>
    </row>
    <row r="252" spans="1:9" ht="24" outlineLevel="2">
      <c r="A252" s="48" t="s">
        <v>160</v>
      </c>
      <c r="B252" s="67" t="s">
        <v>39</v>
      </c>
      <c r="C252" s="67" t="s">
        <v>81</v>
      </c>
      <c r="D252" s="67" t="s">
        <v>5</v>
      </c>
      <c r="E252" s="69">
        <v>0</v>
      </c>
      <c r="F252" s="70">
        <v>600</v>
      </c>
      <c r="G252" s="103">
        <f>50</f>
        <v>50</v>
      </c>
      <c r="H252" s="103">
        <v>0</v>
      </c>
      <c r="I252" s="103">
        <f t="shared" si="7"/>
        <v>0</v>
      </c>
    </row>
    <row r="253" spans="1:9" ht="24.75" customHeight="1" outlineLevel="5">
      <c r="A253" s="49" t="s">
        <v>256</v>
      </c>
      <c r="B253" s="67" t="s">
        <v>39</v>
      </c>
      <c r="C253" s="67" t="s">
        <v>81</v>
      </c>
      <c r="D253" s="67" t="s">
        <v>4</v>
      </c>
      <c r="E253" s="69">
        <v>0</v>
      </c>
      <c r="F253" s="70"/>
      <c r="G253" s="103">
        <f>SUM(G254)</f>
        <v>50</v>
      </c>
      <c r="H253" s="103">
        <f>SUM(H254)</f>
        <v>12.5</v>
      </c>
      <c r="I253" s="103">
        <f t="shared" si="7"/>
        <v>25</v>
      </c>
    </row>
    <row r="254" spans="1:9" ht="24" outlineLevel="3">
      <c r="A254" s="48" t="s">
        <v>160</v>
      </c>
      <c r="B254" s="67" t="s">
        <v>39</v>
      </c>
      <c r="C254" s="67" t="s">
        <v>81</v>
      </c>
      <c r="D254" s="67" t="s">
        <v>4</v>
      </c>
      <c r="E254" s="69">
        <v>0</v>
      </c>
      <c r="F254" s="70">
        <v>600</v>
      </c>
      <c r="G254" s="103">
        <f>100-50</f>
        <v>50</v>
      </c>
      <c r="H254" s="103">
        <v>12.5</v>
      </c>
      <c r="I254" s="103">
        <f t="shared" si="7"/>
        <v>25</v>
      </c>
    </row>
    <row r="255" spans="1:9" ht="24" outlineLevel="3">
      <c r="A255" s="48" t="s">
        <v>159</v>
      </c>
      <c r="B255" s="67" t="s">
        <v>39</v>
      </c>
      <c r="C255" s="67" t="s">
        <v>81</v>
      </c>
      <c r="D255" s="67" t="s">
        <v>16</v>
      </c>
      <c r="E255" s="69">
        <v>0</v>
      </c>
      <c r="F255" s="68"/>
      <c r="G255" s="103">
        <f>SUM(G256)</f>
        <v>0</v>
      </c>
      <c r="H255" s="103">
        <f>SUM(H256)</f>
        <v>0</v>
      </c>
      <c r="I255" s="103">
        <v>0</v>
      </c>
    </row>
    <row r="256" spans="1:9" ht="24" outlineLevel="3">
      <c r="A256" s="48" t="s">
        <v>103</v>
      </c>
      <c r="B256" s="67" t="s">
        <v>39</v>
      </c>
      <c r="C256" s="67" t="s">
        <v>81</v>
      </c>
      <c r="D256" s="67" t="s">
        <v>16</v>
      </c>
      <c r="E256" s="69">
        <v>0</v>
      </c>
      <c r="F256" s="68">
        <v>200</v>
      </c>
      <c r="G256" s="103">
        <v>0</v>
      </c>
      <c r="H256" s="103">
        <v>0</v>
      </c>
      <c r="I256" s="103">
        <v>0</v>
      </c>
    </row>
    <row r="257" spans="1:9" ht="27.75" customHeight="1" outlineLevel="3">
      <c r="A257" s="49" t="s">
        <v>267</v>
      </c>
      <c r="B257" s="67" t="s">
        <v>39</v>
      </c>
      <c r="C257" s="67" t="s">
        <v>117</v>
      </c>
      <c r="D257" s="67" t="s">
        <v>23</v>
      </c>
      <c r="E257" s="69">
        <v>0</v>
      </c>
      <c r="F257" s="68"/>
      <c r="G257" s="103">
        <f>SUM(G258+G260+G262+G264+G266)</f>
        <v>13300</v>
      </c>
      <c r="H257" s="103">
        <f>SUM(H258+H260+H262+H264+H266)</f>
        <v>2715.54316</v>
      </c>
      <c r="I257" s="103">
        <f t="shared" si="7"/>
        <v>20.417617744360903</v>
      </c>
    </row>
    <row r="258" spans="1:9" ht="12.75" outlineLevel="3">
      <c r="A258" s="49" t="s">
        <v>76</v>
      </c>
      <c r="B258" s="67" t="s">
        <v>39</v>
      </c>
      <c r="C258" s="67" t="s">
        <v>81</v>
      </c>
      <c r="D258" s="67" t="s">
        <v>23</v>
      </c>
      <c r="E258" s="69">
        <v>0</v>
      </c>
      <c r="F258" s="68"/>
      <c r="G258" s="103">
        <f>SUM(G259:G259)</f>
        <v>8641</v>
      </c>
      <c r="H258" s="103">
        <f>SUM(H259:H259)</f>
        <v>1867.55814</v>
      </c>
      <c r="I258" s="103">
        <f t="shared" si="7"/>
        <v>21.61275477375304</v>
      </c>
    </row>
    <row r="259" spans="1:9" ht="27" customHeight="1" outlineLevel="3">
      <c r="A259" s="48" t="s">
        <v>160</v>
      </c>
      <c r="B259" s="67" t="s">
        <v>39</v>
      </c>
      <c r="C259" s="67" t="s">
        <v>81</v>
      </c>
      <c r="D259" s="67" t="s">
        <v>23</v>
      </c>
      <c r="E259" s="69">
        <v>0</v>
      </c>
      <c r="F259" s="68">
        <v>600</v>
      </c>
      <c r="G259" s="103">
        <f>7214+1427</f>
        <v>8641</v>
      </c>
      <c r="H259" s="103">
        <v>1867.55814</v>
      </c>
      <c r="I259" s="103">
        <f t="shared" si="7"/>
        <v>21.61275477375304</v>
      </c>
    </row>
    <row r="260" spans="1:9" ht="16.5" customHeight="1" outlineLevel="5">
      <c r="A260" s="49" t="s">
        <v>77</v>
      </c>
      <c r="B260" s="67" t="s">
        <v>39</v>
      </c>
      <c r="C260" s="67" t="s">
        <v>81</v>
      </c>
      <c r="D260" s="67" t="s">
        <v>23</v>
      </c>
      <c r="E260" s="69">
        <v>0</v>
      </c>
      <c r="F260" s="70"/>
      <c r="G260" s="103">
        <f>SUM(G261)</f>
        <v>1593</v>
      </c>
      <c r="H260" s="103">
        <f>SUM(H261)</f>
        <v>269.55663</v>
      </c>
      <c r="I260" s="103">
        <f t="shared" si="7"/>
        <v>16.921320150659135</v>
      </c>
    </row>
    <row r="261" spans="1:9" ht="27" customHeight="1" outlineLevel="5">
      <c r="A261" s="48" t="s">
        <v>160</v>
      </c>
      <c r="B261" s="67" t="s">
        <v>39</v>
      </c>
      <c r="C261" s="67" t="s">
        <v>81</v>
      </c>
      <c r="D261" s="67" t="s">
        <v>23</v>
      </c>
      <c r="E261" s="69">
        <v>0</v>
      </c>
      <c r="F261" s="70">
        <v>600</v>
      </c>
      <c r="G261" s="103">
        <f>862+731</f>
        <v>1593</v>
      </c>
      <c r="H261" s="103">
        <v>269.55663</v>
      </c>
      <c r="I261" s="103">
        <f t="shared" si="7"/>
        <v>16.921320150659135</v>
      </c>
    </row>
    <row r="262" spans="1:9" ht="12.75" outlineLevel="5">
      <c r="A262" s="49" t="s">
        <v>78</v>
      </c>
      <c r="B262" s="67" t="s">
        <v>39</v>
      </c>
      <c r="C262" s="67" t="s">
        <v>81</v>
      </c>
      <c r="D262" s="67" t="s">
        <v>23</v>
      </c>
      <c r="E262" s="69">
        <v>0</v>
      </c>
      <c r="F262" s="70"/>
      <c r="G262" s="103">
        <f>SUM(G263:G263)</f>
        <v>1357</v>
      </c>
      <c r="H262" s="103">
        <f>SUM(H263:H263)</f>
        <v>255.7979</v>
      </c>
      <c r="I262" s="103">
        <f t="shared" si="7"/>
        <v>18.850250552689758</v>
      </c>
    </row>
    <row r="263" spans="1:9" ht="24" outlineLevel="5">
      <c r="A263" s="48" t="s">
        <v>160</v>
      </c>
      <c r="B263" s="67" t="s">
        <v>39</v>
      </c>
      <c r="C263" s="67" t="s">
        <v>81</v>
      </c>
      <c r="D263" s="67" t="s">
        <v>23</v>
      </c>
      <c r="E263" s="69">
        <v>0</v>
      </c>
      <c r="F263" s="70">
        <v>600</v>
      </c>
      <c r="G263" s="103">
        <f>1069+288</f>
        <v>1357</v>
      </c>
      <c r="H263" s="103">
        <v>255.7979</v>
      </c>
      <c r="I263" s="103">
        <f t="shared" si="7"/>
        <v>18.850250552689758</v>
      </c>
    </row>
    <row r="264" spans="1:9" ht="12.75" outlineLevel="5">
      <c r="A264" s="49" t="s">
        <v>79</v>
      </c>
      <c r="B264" s="67" t="s">
        <v>39</v>
      </c>
      <c r="C264" s="67" t="s">
        <v>82</v>
      </c>
      <c r="D264" s="67" t="s">
        <v>23</v>
      </c>
      <c r="E264" s="69">
        <v>0</v>
      </c>
      <c r="F264" s="70"/>
      <c r="G264" s="103">
        <f>SUM(G265)</f>
        <v>267</v>
      </c>
      <c r="H264" s="103">
        <f>SUM(H265)</f>
        <v>48.20158</v>
      </c>
      <c r="I264" s="103">
        <f t="shared" si="7"/>
        <v>18.053026217228467</v>
      </c>
    </row>
    <row r="265" spans="1:9" ht="24" outlineLevel="5">
      <c r="A265" s="48" t="s">
        <v>160</v>
      </c>
      <c r="B265" s="67" t="s">
        <v>39</v>
      </c>
      <c r="C265" s="67" t="s">
        <v>82</v>
      </c>
      <c r="D265" s="67" t="s">
        <v>23</v>
      </c>
      <c r="E265" s="69">
        <v>0</v>
      </c>
      <c r="F265" s="70">
        <v>600</v>
      </c>
      <c r="G265" s="103">
        <f>309-42</f>
        <v>267</v>
      </c>
      <c r="H265" s="103">
        <v>48.20158</v>
      </c>
      <c r="I265" s="103">
        <f t="shared" si="7"/>
        <v>18.053026217228467</v>
      </c>
    </row>
    <row r="266" spans="1:9" ht="12.75" outlineLevel="5">
      <c r="A266" s="49" t="s">
        <v>80</v>
      </c>
      <c r="B266" s="67" t="s">
        <v>39</v>
      </c>
      <c r="C266" s="67" t="s">
        <v>83</v>
      </c>
      <c r="D266" s="67" t="s">
        <v>23</v>
      </c>
      <c r="E266" s="69">
        <v>0</v>
      </c>
      <c r="F266" s="70"/>
      <c r="G266" s="103">
        <f>SUM(G267)</f>
        <v>1442</v>
      </c>
      <c r="H266" s="103">
        <f>SUM(H267)</f>
        <v>274.42891</v>
      </c>
      <c r="I266" s="103">
        <f aca="true" t="shared" si="8" ref="I266:I327">SUM(H266/G266)*100</f>
        <v>19.031131067961162</v>
      </c>
    </row>
    <row r="267" spans="1:9" ht="25.5" customHeight="1" outlineLevel="5">
      <c r="A267" s="48" t="s">
        <v>160</v>
      </c>
      <c r="B267" s="67" t="s">
        <v>39</v>
      </c>
      <c r="C267" s="67" t="s">
        <v>83</v>
      </c>
      <c r="D267" s="67" t="s">
        <v>23</v>
      </c>
      <c r="E267" s="69">
        <v>0</v>
      </c>
      <c r="F267" s="70">
        <v>600</v>
      </c>
      <c r="G267" s="103">
        <f>596+846</f>
        <v>1442</v>
      </c>
      <c r="H267" s="103">
        <v>274.42891</v>
      </c>
      <c r="I267" s="103">
        <f t="shared" si="8"/>
        <v>19.031131067961162</v>
      </c>
    </row>
    <row r="268" spans="1:9" ht="12.75" outlineLevel="5">
      <c r="A268" s="48" t="s">
        <v>216</v>
      </c>
      <c r="B268" s="67" t="s">
        <v>39</v>
      </c>
      <c r="C268" s="67" t="s">
        <v>217</v>
      </c>
      <c r="D268" s="67"/>
      <c r="E268" s="69"/>
      <c r="F268" s="70"/>
      <c r="G268" s="103">
        <f>SUM(G269)</f>
        <v>12.5</v>
      </c>
      <c r="H268" s="103">
        <f>SUM(H269)</f>
        <v>12.5</v>
      </c>
      <c r="I268" s="103">
        <f t="shared" si="8"/>
        <v>100</v>
      </c>
    </row>
    <row r="269" spans="1:9" ht="12.75" outlineLevel="5">
      <c r="A269" s="48" t="s">
        <v>218</v>
      </c>
      <c r="B269" s="67" t="s">
        <v>39</v>
      </c>
      <c r="C269" s="67" t="s">
        <v>219</v>
      </c>
      <c r="D269" s="67"/>
      <c r="E269" s="69"/>
      <c r="F269" s="70"/>
      <c r="G269" s="103">
        <f>SUM(G272)</f>
        <v>12.5</v>
      </c>
      <c r="H269" s="103">
        <f>SUM(H272)</f>
        <v>12.5</v>
      </c>
      <c r="I269" s="103">
        <f t="shared" si="8"/>
        <v>100</v>
      </c>
    </row>
    <row r="270" spans="1:9" ht="36" outlineLevel="5">
      <c r="A270" s="48" t="s">
        <v>269</v>
      </c>
      <c r="B270" s="67" t="s">
        <v>39</v>
      </c>
      <c r="C270" s="67" t="s">
        <v>219</v>
      </c>
      <c r="D270" s="67" t="s">
        <v>6</v>
      </c>
      <c r="E270" s="69">
        <v>0</v>
      </c>
      <c r="F270" s="70"/>
      <c r="G270" s="103">
        <f>SUM(G271)</f>
        <v>12.5</v>
      </c>
      <c r="H270" s="103">
        <f>SUM(H271)</f>
        <v>12.5</v>
      </c>
      <c r="I270" s="103">
        <f t="shared" si="8"/>
        <v>100</v>
      </c>
    </row>
    <row r="271" spans="1:9" ht="24" outlineLevel="5">
      <c r="A271" s="48" t="s">
        <v>207</v>
      </c>
      <c r="B271" s="67" t="s">
        <v>39</v>
      </c>
      <c r="C271" s="67" t="s">
        <v>219</v>
      </c>
      <c r="D271" s="67" t="s">
        <v>6</v>
      </c>
      <c r="E271" s="69">
        <v>3</v>
      </c>
      <c r="F271" s="68"/>
      <c r="G271" s="103">
        <f>SUM(G272:G272)</f>
        <v>12.5</v>
      </c>
      <c r="H271" s="103">
        <f>SUM(H272:H272)</f>
        <v>12.5</v>
      </c>
      <c r="I271" s="103">
        <f t="shared" si="8"/>
        <v>100</v>
      </c>
    </row>
    <row r="272" spans="1:9" ht="24" outlineLevel="5">
      <c r="A272" s="48" t="s">
        <v>163</v>
      </c>
      <c r="B272" s="67" t="s">
        <v>39</v>
      </c>
      <c r="C272" s="67" t="s">
        <v>219</v>
      </c>
      <c r="D272" s="67" t="s">
        <v>6</v>
      </c>
      <c r="E272" s="69">
        <v>3</v>
      </c>
      <c r="F272" s="68">
        <v>400</v>
      </c>
      <c r="G272" s="103">
        <f>12.5</f>
        <v>12.5</v>
      </c>
      <c r="H272" s="103">
        <v>12.5</v>
      </c>
      <c r="I272" s="103">
        <f t="shared" si="8"/>
        <v>100</v>
      </c>
    </row>
    <row r="273" spans="1:9" ht="21" customHeight="1" outlineLevel="5">
      <c r="A273" s="48" t="s">
        <v>84</v>
      </c>
      <c r="B273" s="67" t="s">
        <v>39</v>
      </c>
      <c r="C273" s="67" t="s">
        <v>170</v>
      </c>
      <c r="D273" s="67"/>
      <c r="E273" s="69"/>
      <c r="F273" s="68"/>
      <c r="G273" s="103">
        <f>SUM(G274+G277+G287+G297)</f>
        <v>28140.6</v>
      </c>
      <c r="H273" s="103">
        <f>SUM(H274+H277+H287+H297)</f>
        <v>6909.92367</v>
      </c>
      <c r="I273" s="103">
        <f t="shared" si="8"/>
        <v>24.55499765463423</v>
      </c>
    </row>
    <row r="274" spans="1:9" ht="26.25" customHeight="1" outlineLevel="5">
      <c r="A274" s="48" t="s">
        <v>86</v>
      </c>
      <c r="B274" s="67" t="s">
        <v>39</v>
      </c>
      <c r="C274" s="67" t="s">
        <v>87</v>
      </c>
      <c r="D274" s="67"/>
      <c r="E274" s="69"/>
      <c r="F274" s="68"/>
      <c r="G274" s="103">
        <f>SUM(G275)</f>
        <v>4000</v>
      </c>
      <c r="H274" s="103">
        <f>SUM(H275)</f>
        <v>699.41798</v>
      </c>
      <c r="I274" s="103">
        <f t="shared" si="8"/>
        <v>17.4854495</v>
      </c>
    </row>
    <row r="275" spans="1:9" ht="24" customHeight="1" outlineLevel="5">
      <c r="A275" s="48" t="s">
        <v>159</v>
      </c>
      <c r="B275" s="67" t="s">
        <v>39</v>
      </c>
      <c r="C275" s="67" t="s">
        <v>87</v>
      </c>
      <c r="D275" s="67" t="s">
        <v>16</v>
      </c>
      <c r="E275" s="69">
        <v>0</v>
      </c>
      <c r="F275" s="68"/>
      <c r="G275" s="103">
        <f>SUM(G276)</f>
        <v>4000</v>
      </c>
      <c r="H275" s="103">
        <f>SUM(H276)</f>
        <v>699.41798</v>
      </c>
      <c r="I275" s="103">
        <f t="shared" si="8"/>
        <v>17.4854495</v>
      </c>
    </row>
    <row r="276" spans="1:9" ht="12.75" outlineLevel="5">
      <c r="A276" s="48" t="s">
        <v>161</v>
      </c>
      <c r="B276" s="67" t="s">
        <v>39</v>
      </c>
      <c r="C276" s="67" t="s">
        <v>87</v>
      </c>
      <c r="D276" s="67" t="s">
        <v>16</v>
      </c>
      <c r="E276" s="69">
        <v>0</v>
      </c>
      <c r="F276" s="68">
        <v>300</v>
      </c>
      <c r="G276" s="103">
        <f>3200+800+230-230</f>
        <v>4000</v>
      </c>
      <c r="H276" s="103">
        <v>699.41798</v>
      </c>
      <c r="I276" s="103">
        <f t="shared" si="8"/>
        <v>17.4854495</v>
      </c>
    </row>
    <row r="277" spans="1:9" ht="18.75" customHeight="1" outlineLevel="5">
      <c r="A277" s="48" t="s">
        <v>88</v>
      </c>
      <c r="B277" s="67" t="s">
        <v>39</v>
      </c>
      <c r="C277" s="67" t="s">
        <v>90</v>
      </c>
      <c r="D277" s="67"/>
      <c r="E277" s="69"/>
      <c r="F277" s="68"/>
      <c r="G277" s="103">
        <f>SUM(G278+G280)</f>
        <v>14287.257</v>
      </c>
      <c r="H277" s="103">
        <f>SUM(H278+H280)</f>
        <v>4541.0528</v>
      </c>
      <c r="I277" s="103">
        <f t="shared" si="8"/>
        <v>31.783937252616095</v>
      </c>
    </row>
    <row r="278" spans="1:9" ht="58.5" customHeight="1" outlineLevel="5">
      <c r="A278" s="48" t="s">
        <v>273</v>
      </c>
      <c r="B278" s="67" t="s">
        <v>39</v>
      </c>
      <c r="C278" s="67" t="s">
        <v>90</v>
      </c>
      <c r="D278" s="67" t="s">
        <v>7</v>
      </c>
      <c r="E278" s="69">
        <v>0</v>
      </c>
      <c r="F278" s="68"/>
      <c r="G278" s="103">
        <f>SUM(G279)</f>
        <v>500</v>
      </c>
      <c r="H278" s="103">
        <f>SUM(H279)</f>
        <v>130.63</v>
      </c>
      <c r="I278" s="103">
        <f t="shared" si="8"/>
        <v>26.125999999999998</v>
      </c>
    </row>
    <row r="279" spans="1:9" ht="18.75" customHeight="1" outlineLevel="5">
      <c r="A279" s="48" t="s">
        <v>161</v>
      </c>
      <c r="B279" s="67" t="s">
        <v>39</v>
      </c>
      <c r="C279" s="67" t="s">
        <v>90</v>
      </c>
      <c r="D279" s="67" t="s">
        <v>7</v>
      </c>
      <c r="E279" s="69">
        <v>0</v>
      </c>
      <c r="F279" s="68">
        <v>300</v>
      </c>
      <c r="G279" s="103">
        <f>100+400</f>
        <v>500</v>
      </c>
      <c r="H279" s="103">
        <v>130.63</v>
      </c>
      <c r="I279" s="103">
        <f t="shared" si="8"/>
        <v>26.125999999999998</v>
      </c>
    </row>
    <row r="280" spans="1:9" ht="24.75" customHeight="1">
      <c r="A280" s="48" t="s">
        <v>159</v>
      </c>
      <c r="B280" s="67" t="s">
        <v>39</v>
      </c>
      <c r="C280" s="67" t="s">
        <v>90</v>
      </c>
      <c r="D280" s="67" t="s">
        <v>16</v>
      </c>
      <c r="E280" s="69">
        <v>0</v>
      </c>
      <c r="F280" s="68"/>
      <c r="G280" s="103">
        <f>SUM(G281+G284+G285+G286)</f>
        <v>13787.257</v>
      </c>
      <c r="H280" s="103">
        <f>SUM(H281+H284+H285+H286)</f>
        <v>4410.4228</v>
      </c>
      <c r="I280" s="103">
        <f t="shared" si="8"/>
        <v>31.9891244502079</v>
      </c>
    </row>
    <row r="281" spans="1:9" ht="84">
      <c r="A281" s="48" t="s">
        <v>107</v>
      </c>
      <c r="B281" s="67" t="s">
        <v>39</v>
      </c>
      <c r="C281" s="67" t="s">
        <v>90</v>
      </c>
      <c r="D281" s="67" t="s">
        <v>16</v>
      </c>
      <c r="E281" s="69">
        <v>0</v>
      </c>
      <c r="F281" s="68"/>
      <c r="G281" s="103">
        <f>SUM(G282:G283)</f>
        <v>9903.857</v>
      </c>
      <c r="H281" s="103">
        <f>SUM(H282:H283)</f>
        <v>3565.0446</v>
      </c>
      <c r="I281" s="103">
        <f t="shared" si="8"/>
        <v>35.99652741351173</v>
      </c>
    </row>
    <row r="282" spans="1:9" ht="12.75">
      <c r="A282" s="48" t="s">
        <v>161</v>
      </c>
      <c r="B282" s="67" t="s">
        <v>39</v>
      </c>
      <c r="C282" s="67" t="s">
        <v>90</v>
      </c>
      <c r="D282" s="67" t="s">
        <v>16</v>
      </c>
      <c r="E282" s="69">
        <v>0</v>
      </c>
      <c r="F282" s="68">
        <v>300</v>
      </c>
      <c r="G282" s="103">
        <f>8069.299+4508-44.63-2676.32-50.55</f>
        <v>9805.799</v>
      </c>
      <c r="H282" s="103">
        <v>3529.74712</v>
      </c>
      <c r="I282" s="103">
        <f t="shared" si="8"/>
        <v>35.99652736100342</v>
      </c>
    </row>
    <row r="283" spans="1:9" ht="28.5" customHeight="1">
      <c r="A283" s="48" t="s">
        <v>103</v>
      </c>
      <c r="B283" s="67" t="s">
        <v>39</v>
      </c>
      <c r="C283" s="67" t="s">
        <v>90</v>
      </c>
      <c r="D283" s="67" t="s">
        <v>16</v>
      </c>
      <c r="E283" s="69">
        <v>0</v>
      </c>
      <c r="F283" s="68">
        <v>200</v>
      </c>
      <c r="G283" s="103">
        <f>80.69+44.63-26.757-0.505</f>
        <v>98.05799999999999</v>
      </c>
      <c r="H283" s="103">
        <v>35.29748</v>
      </c>
      <c r="I283" s="103">
        <f t="shared" si="8"/>
        <v>35.996532664341515</v>
      </c>
    </row>
    <row r="284" spans="1:9" ht="75" customHeight="1">
      <c r="A284" s="48" t="s">
        <v>108</v>
      </c>
      <c r="B284" s="67" t="s">
        <v>39</v>
      </c>
      <c r="C284" s="67" t="s">
        <v>90</v>
      </c>
      <c r="D284" s="67" t="s">
        <v>16</v>
      </c>
      <c r="E284" s="69">
        <v>0</v>
      </c>
      <c r="F284" s="68">
        <v>300</v>
      </c>
      <c r="G284" s="103">
        <f>1067.7+288.9-245.2</f>
        <v>1111.3999999999999</v>
      </c>
      <c r="H284" s="103">
        <v>129.66272</v>
      </c>
      <c r="I284" s="103">
        <f t="shared" si="8"/>
        <v>11.666611481014938</v>
      </c>
    </row>
    <row r="285" spans="1:9" ht="63.75" customHeight="1">
      <c r="A285" s="48" t="s">
        <v>109</v>
      </c>
      <c r="B285" s="67" t="s">
        <v>39</v>
      </c>
      <c r="C285" s="67" t="s">
        <v>90</v>
      </c>
      <c r="D285" s="67" t="s">
        <v>16</v>
      </c>
      <c r="E285" s="69">
        <v>0</v>
      </c>
      <c r="F285" s="68">
        <v>300</v>
      </c>
      <c r="G285" s="103">
        <f>22.5+1+13.7</f>
        <v>37.2</v>
      </c>
      <c r="H285" s="103">
        <v>6</v>
      </c>
      <c r="I285" s="103">
        <f t="shared" si="8"/>
        <v>16.129032258064516</v>
      </c>
    </row>
    <row r="286" spans="1:9" ht="60.75" customHeight="1">
      <c r="A286" s="48" t="s">
        <v>110</v>
      </c>
      <c r="B286" s="67" t="s">
        <v>39</v>
      </c>
      <c r="C286" s="67" t="s">
        <v>90</v>
      </c>
      <c r="D286" s="67" t="s">
        <v>16</v>
      </c>
      <c r="E286" s="69">
        <v>0</v>
      </c>
      <c r="F286" s="68">
        <v>300</v>
      </c>
      <c r="G286" s="103">
        <f>3024+74.7-363.9</f>
        <v>2734.7999999999997</v>
      </c>
      <c r="H286" s="103">
        <v>709.71548</v>
      </c>
      <c r="I286" s="103">
        <f t="shared" si="8"/>
        <v>25.95127541319292</v>
      </c>
    </row>
    <row r="287" spans="1:9" ht="24" customHeight="1">
      <c r="A287" s="48" t="s">
        <v>89</v>
      </c>
      <c r="B287" s="67" t="s">
        <v>39</v>
      </c>
      <c r="C287" s="67" t="s">
        <v>91</v>
      </c>
      <c r="D287" s="67"/>
      <c r="E287" s="69"/>
      <c r="F287" s="68"/>
      <c r="G287" s="103">
        <f>SUM(G290+G288)</f>
        <v>8774.9</v>
      </c>
      <c r="H287" s="103">
        <f>SUM(H290+H288)</f>
        <v>1485.7</v>
      </c>
      <c r="I287" s="103">
        <f t="shared" si="8"/>
        <v>16.9312470797388</v>
      </c>
    </row>
    <row r="288" spans="1:9" ht="24" customHeight="1" hidden="1">
      <c r="A288" s="48" t="s">
        <v>261</v>
      </c>
      <c r="B288" s="67" t="s">
        <v>39</v>
      </c>
      <c r="C288" s="67" t="s">
        <v>91</v>
      </c>
      <c r="D288" s="67" t="s">
        <v>262</v>
      </c>
      <c r="E288" s="69">
        <v>0</v>
      </c>
      <c r="F288" s="68"/>
      <c r="G288" s="103">
        <f>SUM(G289)</f>
        <v>0</v>
      </c>
      <c r="H288" s="103">
        <f>SUM(H289)</f>
        <v>0</v>
      </c>
      <c r="I288" s="103" t="e">
        <f t="shared" si="8"/>
        <v>#DIV/0!</v>
      </c>
    </row>
    <row r="289" spans="1:9" ht="18" customHeight="1" hidden="1">
      <c r="A289" s="48" t="s">
        <v>161</v>
      </c>
      <c r="B289" s="67" t="s">
        <v>39</v>
      </c>
      <c r="C289" s="67" t="s">
        <v>91</v>
      </c>
      <c r="D289" s="67" t="s">
        <v>262</v>
      </c>
      <c r="E289" s="69">
        <v>0</v>
      </c>
      <c r="F289" s="68">
        <v>300</v>
      </c>
      <c r="G289" s="103">
        <v>0</v>
      </c>
      <c r="H289" s="103">
        <v>0</v>
      </c>
      <c r="I289" s="103" t="e">
        <f t="shared" si="8"/>
        <v>#DIV/0!</v>
      </c>
    </row>
    <row r="290" spans="1:9" ht="27.75" customHeight="1">
      <c r="A290" s="48" t="s">
        <v>159</v>
      </c>
      <c r="B290" s="67" t="s">
        <v>39</v>
      </c>
      <c r="C290" s="67" t="s">
        <v>91</v>
      </c>
      <c r="D290" s="67" t="s">
        <v>16</v>
      </c>
      <c r="E290" s="69">
        <v>0</v>
      </c>
      <c r="F290" s="68"/>
      <c r="G290" s="103">
        <f>SUM(G291+G294)</f>
        <v>8774.9</v>
      </c>
      <c r="H290" s="103">
        <f>SUM(H291+H294)</f>
        <v>1485.7</v>
      </c>
      <c r="I290" s="103">
        <f t="shared" si="8"/>
        <v>16.9312470797388</v>
      </c>
    </row>
    <row r="291" spans="1:9" ht="48.75" customHeight="1">
      <c r="A291" s="48" t="s">
        <v>111</v>
      </c>
      <c r="B291" s="67" t="s">
        <v>39</v>
      </c>
      <c r="C291" s="67" t="s">
        <v>91</v>
      </c>
      <c r="D291" s="67" t="s">
        <v>16</v>
      </c>
      <c r="E291" s="69">
        <v>0</v>
      </c>
      <c r="F291" s="68"/>
      <c r="G291" s="103">
        <f>SUM(G292:G293)</f>
        <v>721.1999999999999</v>
      </c>
      <c r="H291" s="103">
        <f>SUM(H292:H293)</f>
        <v>70</v>
      </c>
      <c r="I291" s="103">
        <f t="shared" si="8"/>
        <v>9.706045479755963</v>
      </c>
    </row>
    <row r="292" spans="1:9" ht="14.25" customHeight="1">
      <c r="A292" s="48" t="s">
        <v>161</v>
      </c>
      <c r="B292" s="67" t="s">
        <v>39</v>
      </c>
      <c r="C292" s="67" t="s">
        <v>91</v>
      </c>
      <c r="D292" s="67" t="s">
        <v>16</v>
      </c>
      <c r="E292" s="69">
        <v>0</v>
      </c>
      <c r="F292" s="68">
        <v>300</v>
      </c>
      <c r="G292" s="103">
        <f>1327.03-612.97</f>
        <v>714.06</v>
      </c>
      <c r="H292" s="103">
        <v>69.30693</v>
      </c>
      <c r="I292" s="103">
        <f t="shared" si="8"/>
        <v>9.706037307789261</v>
      </c>
    </row>
    <row r="293" spans="1:9" ht="23.25" customHeight="1">
      <c r="A293" s="48" t="s">
        <v>103</v>
      </c>
      <c r="B293" s="67" t="s">
        <v>39</v>
      </c>
      <c r="C293" s="67" t="s">
        <v>91</v>
      </c>
      <c r="D293" s="67" t="s">
        <v>16</v>
      </c>
      <c r="E293" s="69">
        <v>0</v>
      </c>
      <c r="F293" s="68">
        <v>200</v>
      </c>
      <c r="G293" s="103">
        <f>13.27-6.13</f>
        <v>7.14</v>
      </c>
      <c r="H293" s="103">
        <v>0.69307</v>
      </c>
      <c r="I293" s="103">
        <f t="shared" si="8"/>
        <v>9.70686274509804</v>
      </c>
    </row>
    <row r="294" spans="1:9" ht="96">
      <c r="A294" s="48" t="s">
        <v>238</v>
      </c>
      <c r="B294" s="67" t="s">
        <v>39</v>
      </c>
      <c r="C294" s="67" t="s">
        <v>91</v>
      </c>
      <c r="D294" s="67" t="s">
        <v>16</v>
      </c>
      <c r="E294" s="101">
        <v>0</v>
      </c>
      <c r="F294" s="68"/>
      <c r="G294" s="103">
        <f>SUM(G295:G296)</f>
        <v>8053.7</v>
      </c>
      <c r="H294" s="103">
        <f>SUM(H295:H296)</f>
        <v>1415.7</v>
      </c>
      <c r="I294" s="103">
        <f t="shared" si="8"/>
        <v>17.57825595688938</v>
      </c>
    </row>
    <row r="295" spans="1:9" ht="12.75">
      <c r="A295" s="48" t="s">
        <v>112</v>
      </c>
      <c r="B295" s="67" t="s">
        <v>39</v>
      </c>
      <c r="C295" s="67" t="s">
        <v>91</v>
      </c>
      <c r="D295" s="67" t="s">
        <v>16</v>
      </c>
      <c r="E295" s="69">
        <v>0</v>
      </c>
      <c r="F295" s="68">
        <v>300</v>
      </c>
      <c r="G295" s="103">
        <f>5437+557.2+298.8</f>
        <v>6293</v>
      </c>
      <c r="H295" s="103">
        <v>1136.2</v>
      </c>
      <c r="I295" s="103">
        <f t="shared" si="8"/>
        <v>18.054981725727</v>
      </c>
    </row>
    <row r="296" spans="1:9" ht="26.25" customHeight="1">
      <c r="A296" s="48" t="s">
        <v>113</v>
      </c>
      <c r="B296" s="67" t="s">
        <v>39</v>
      </c>
      <c r="C296" s="67" t="s">
        <v>91</v>
      </c>
      <c r="D296" s="67" t="s">
        <v>16</v>
      </c>
      <c r="E296" s="69">
        <v>0</v>
      </c>
      <c r="F296" s="68">
        <v>300</v>
      </c>
      <c r="G296" s="103">
        <f>649+668.1+443.6</f>
        <v>1760.6999999999998</v>
      </c>
      <c r="H296" s="103">
        <v>279.5</v>
      </c>
      <c r="I296" s="103">
        <f t="shared" si="8"/>
        <v>15.874368149031637</v>
      </c>
    </row>
    <row r="297" spans="1:9" ht="12.75">
      <c r="A297" s="48" t="s">
        <v>231</v>
      </c>
      <c r="B297" s="67" t="s">
        <v>39</v>
      </c>
      <c r="C297" s="67" t="s">
        <v>230</v>
      </c>
      <c r="D297" s="67"/>
      <c r="E297" s="69"/>
      <c r="F297" s="68"/>
      <c r="G297" s="103">
        <f>SUM(G298)</f>
        <v>1078.443</v>
      </c>
      <c r="H297" s="103">
        <f>SUM(H298)</f>
        <v>183.75288999999998</v>
      </c>
      <c r="I297" s="103">
        <f t="shared" si="8"/>
        <v>17.038720637066586</v>
      </c>
    </row>
    <row r="298" spans="1:9" ht="24">
      <c r="A298" s="48" t="s">
        <v>159</v>
      </c>
      <c r="B298" s="67" t="s">
        <v>39</v>
      </c>
      <c r="C298" s="67" t="s">
        <v>230</v>
      </c>
      <c r="D298" s="67" t="s">
        <v>16</v>
      </c>
      <c r="E298" s="69">
        <v>0</v>
      </c>
      <c r="F298" s="68"/>
      <c r="G298" s="103">
        <f>SUM(G299)</f>
        <v>1078.443</v>
      </c>
      <c r="H298" s="103">
        <f>SUM(H299)</f>
        <v>183.75288999999998</v>
      </c>
      <c r="I298" s="103">
        <f t="shared" si="8"/>
        <v>17.038720637066586</v>
      </c>
    </row>
    <row r="299" spans="1:9" ht="84">
      <c r="A299" s="48" t="s">
        <v>107</v>
      </c>
      <c r="B299" s="67" t="s">
        <v>39</v>
      </c>
      <c r="C299" s="67" t="s">
        <v>230</v>
      </c>
      <c r="D299" s="67" t="s">
        <v>16</v>
      </c>
      <c r="E299" s="69">
        <v>0</v>
      </c>
      <c r="F299" s="68"/>
      <c r="G299" s="103">
        <f>SUM(G300:G301)</f>
        <v>1078.443</v>
      </c>
      <c r="H299" s="103">
        <f>SUM(H300:H301)</f>
        <v>183.75288999999998</v>
      </c>
      <c r="I299" s="103">
        <f t="shared" si="8"/>
        <v>17.038720637066586</v>
      </c>
    </row>
    <row r="300" spans="1:9" ht="43.5" customHeight="1">
      <c r="A300" s="48" t="s">
        <v>102</v>
      </c>
      <c r="B300" s="67" t="s">
        <v>39</v>
      </c>
      <c r="C300" s="67" t="s">
        <v>230</v>
      </c>
      <c r="D300" s="67" t="s">
        <v>16</v>
      </c>
      <c r="E300" s="69">
        <v>0</v>
      </c>
      <c r="F300" s="68">
        <v>100</v>
      </c>
      <c r="G300" s="103">
        <f>900+36+41</f>
        <v>977</v>
      </c>
      <c r="H300" s="103">
        <v>181.73689</v>
      </c>
      <c r="I300" s="103">
        <f t="shared" si="8"/>
        <v>18.601524053224157</v>
      </c>
    </row>
    <row r="301" spans="1:9" ht="25.5" customHeight="1">
      <c r="A301" s="48" t="s">
        <v>103</v>
      </c>
      <c r="B301" s="67" t="s">
        <v>39</v>
      </c>
      <c r="C301" s="67" t="s">
        <v>230</v>
      </c>
      <c r="D301" s="67" t="s">
        <v>16</v>
      </c>
      <c r="E301" s="69">
        <v>0</v>
      </c>
      <c r="F301" s="68">
        <v>200</v>
      </c>
      <c r="G301" s="103">
        <f>204.411-36-77.023+10.055</f>
        <v>101.44300000000001</v>
      </c>
      <c r="H301" s="103">
        <v>2.016</v>
      </c>
      <c r="I301" s="103">
        <f t="shared" si="8"/>
        <v>1.9873229301183915</v>
      </c>
    </row>
    <row r="302" spans="1:9" ht="20.25" customHeight="1">
      <c r="A302" s="48" t="s">
        <v>92</v>
      </c>
      <c r="B302" s="67" t="s">
        <v>39</v>
      </c>
      <c r="C302" s="67" t="s">
        <v>141</v>
      </c>
      <c r="D302" s="67"/>
      <c r="E302" s="69"/>
      <c r="F302" s="68"/>
      <c r="G302" s="103">
        <f>SUM(G311+G307+G303)</f>
        <v>704.08164</v>
      </c>
      <c r="H302" s="103">
        <f>SUM(H311+H307+H303)</f>
        <v>47.1258</v>
      </c>
      <c r="I302" s="103">
        <f t="shared" si="8"/>
        <v>6.693229495374996</v>
      </c>
    </row>
    <row r="303" spans="1:9" ht="20.25" customHeight="1" hidden="1">
      <c r="A303" s="48" t="s">
        <v>294</v>
      </c>
      <c r="B303" s="67" t="s">
        <v>39</v>
      </c>
      <c r="C303" s="67" t="s">
        <v>221</v>
      </c>
      <c r="D303" s="67"/>
      <c r="E303" s="69"/>
      <c r="F303" s="68"/>
      <c r="G303" s="103">
        <f>SUM(G304)</f>
        <v>0</v>
      </c>
      <c r="H303" s="103">
        <f>SUM(H304)</f>
        <v>0</v>
      </c>
      <c r="I303" s="103" t="e">
        <f t="shared" si="8"/>
        <v>#DIV/0!</v>
      </c>
    </row>
    <row r="304" spans="1:9" ht="20.25" customHeight="1" hidden="1">
      <c r="A304" s="48" t="s">
        <v>290</v>
      </c>
      <c r="B304" s="67" t="s">
        <v>39</v>
      </c>
      <c r="C304" s="67" t="s">
        <v>221</v>
      </c>
      <c r="D304" s="67" t="s">
        <v>12</v>
      </c>
      <c r="E304" s="69">
        <v>0</v>
      </c>
      <c r="F304" s="68"/>
      <c r="G304" s="103">
        <f>SUM(G305:G306)</f>
        <v>0</v>
      </c>
      <c r="H304" s="103">
        <f>SUM(H305:H306)</f>
        <v>0</v>
      </c>
      <c r="I304" s="103" t="e">
        <f t="shared" si="8"/>
        <v>#DIV/0!</v>
      </c>
    </row>
    <row r="305" spans="1:9" ht="20.25" customHeight="1" hidden="1">
      <c r="A305" s="48" t="s">
        <v>302</v>
      </c>
      <c r="B305" s="67" t="s">
        <v>39</v>
      </c>
      <c r="C305" s="67" t="s">
        <v>221</v>
      </c>
      <c r="D305" s="67" t="s">
        <v>12</v>
      </c>
      <c r="E305" s="69">
        <v>0</v>
      </c>
      <c r="F305" s="68">
        <v>400</v>
      </c>
      <c r="G305" s="103">
        <v>0</v>
      </c>
      <c r="H305" s="103">
        <v>0</v>
      </c>
      <c r="I305" s="103" t="e">
        <f t="shared" si="8"/>
        <v>#DIV/0!</v>
      </c>
    </row>
    <row r="306" spans="1:9" ht="20.25" customHeight="1" hidden="1">
      <c r="A306" s="48" t="s">
        <v>291</v>
      </c>
      <c r="B306" s="67" t="s">
        <v>39</v>
      </c>
      <c r="C306" s="67" t="s">
        <v>221</v>
      </c>
      <c r="D306" s="67" t="s">
        <v>12</v>
      </c>
      <c r="E306" s="69">
        <v>0</v>
      </c>
      <c r="F306" s="68">
        <v>400</v>
      </c>
      <c r="G306" s="103">
        <v>0</v>
      </c>
      <c r="H306" s="103">
        <v>0</v>
      </c>
      <c r="I306" s="103" t="e">
        <f t="shared" si="8"/>
        <v>#DIV/0!</v>
      </c>
    </row>
    <row r="307" spans="1:9" ht="12.75">
      <c r="A307" s="48" t="s">
        <v>288</v>
      </c>
      <c r="B307" s="67" t="s">
        <v>39</v>
      </c>
      <c r="C307" s="67" t="s">
        <v>287</v>
      </c>
      <c r="D307" s="67"/>
      <c r="E307" s="69"/>
      <c r="F307" s="68"/>
      <c r="G307" s="103">
        <f>SUM(G308)</f>
        <v>204.08164</v>
      </c>
      <c r="H307" s="103">
        <f>SUM(H308)</f>
        <v>0</v>
      </c>
      <c r="I307" s="103">
        <f t="shared" si="8"/>
        <v>0</v>
      </c>
    </row>
    <row r="308" spans="1:9" ht="24">
      <c r="A308" s="48" t="s">
        <v>253</v>
      </c>
      <c r="B308" s="67" t="s">
        <v>39</v>
      </c>
      <c r="C308" s="67" t="s">
        <v>287</v>
      </c>
      <c r="D308" s="67" t="s">
        <v>18</v>
      </c>
      <c r="E308" s="69">
        <v>0</v>
      </c>
      <c r="F308" s="68"/>
      <c r="G308" s="103">
        <f>SUM(G309:G310)</f>
        <v>204.08164</v>
      </c>
      <c r="H308" s="103">
        <f>SUM(H309:H310)</f>
        <v>0</v>
      </c>
      <c r="I308" s="103">
        <f t="shared" si="8"/>
        <v>0</v>
      </c>
    </row>
    <row r="309" spans="1:9" ht="36">
      <c r="A309" s="48" t="s">
        <v>323</v>
      </c>
      <c r="B309" s="67" t="s">
        <v>39</v>
      </c>
      <c r="C309" s="67" t="s">
        <v>287</v>
      </c>
      <c r="D309" s="67" t="s">
        <v>18</v>
      </c>
      <c r="E309" s="69">
        <v>0</v>
      </c>
      <c r="F309" s="68">
        <v>400</v>
      </c>
      <c r="G309" s="103">
        <f>200</f>
        <v>200</v>
      </c>
      <c r="H309" s="103">
        <v>0</v>
      </c>
      <c r="I309" s="103">
        <f t="shared" si="8"/>
        <v>0</v>
      </c>
    </row>
    <row r="310" spans="1:9" ht="24">
      <c r="A310" s="48" t="s">
        <v>163</v>
      </c>
      <c r="B310" s="67" t="s">
        <v>39</v>
      </c>
      <c r="C310" s="67" t="s">
        <v>287</v>
      </c>
      <c r="D310" s="67" t="s">
        <v>18</v>
      </c>
      <c r="E310" s="69">
        <v>0</v>
      </c>
      <c r="F310" s="68">
        <v>400</v>
      </c>
      <c r="G310" s="103">
        <f>4.08164</f>
        <v>4.08164</v>
      </c>
      <c r="H310" s="103">
        <v>0</v>
      </c>
      <c r="I310" s="103">
        <f t="shared" si="8"/>
        <v>0</v>
      </c>
    </row>
    <row r="311" spans="1:9" ht="12.75">
      <c r="A311" s="48" t="s">
        <v>222</v>
      </c>
      <c r="B311" s="67" t="s">
        <v>39</v>
      </c>
      <c r="C311" s="67" t="s">
        <v>93</v>
      </c>
      <c r="D311" s="67"/>
      <c r="E311" s="69"/>
      <c r="F311" s="68"/>
      <c r="G311" s="103">
        <f>SUM(G312)</f>
        <v>500</v>
      </c>
      <c r="H311" s="103">
        <f>SUM(H312)</f>
        <v>47.1258</v>
      </c>
      <c r="I311" s="103">
        <f t="shared" si="8"/>
        <v>9.425159999999998</v>
      </c>
    </row>
    <row r="312" spans="1:9" ht="24">
      <c r="A312" s="48" t="s">
        <v>253</v>
      </c>
      <c r="B312" s="67" t="s">
        <v>39</v>
      </c>
      <c r="C312" s="67" t="s">
        <v>93</v>
      </c>
      <c r="D312" s="67" t="s">
        <v>18</v>
      </c>
      <c r="E312" s="69">
        <v>0</v>
      </c>
      <c r="F312" s="68"/>
      <c r="G312" s="103">
        <f>SUM(G313)</f>
        <v>500</v>
      </c>
      <c r="H312" s="103">
        <f>SUM(H313)</f>
        <v>47.1258</v>
      </c>
      <c r="I312" s="103">
        <f t="shared" si="8"/>
        <v>9.425159999999998</v>
      </c>
    </row>
    <row r="313" spans="1:9" ht="24" customHeight="1">
      <c r="A313" s="48" t="s">
        <v>103</v>
      </c>
      <c r="B313" s="67" t="s">
        <v>39</v>
      </c>
      <c r="C313" s="67" t="s">
        <v>93</v>
      </c>
      <c r="D313" s="67" t="s">
        <v>18</v>
      </c>
      <c r="E313" s="69">
        <v>0</v>
      </c>
      <c r="F313" s="68">
        <v>200</v>
      </c>
      <c r="G313" s="103">
        <f>500+10-10</f>
        <v>500</v>
      </c>
      <c r="H313" s="103">
        <v>47.1258</v>
      </c>
      <c r="I313" s="103">
        <f t="shared" si="8"/>
        <v>9.425159999999998</v>
      </c>
    </row>
    <row r="314" spans="1:9" ht="12.75">
      <c r="A314" s="48" t="s">
        <v>94</v>
      </c>
      <c r="B314" s="67" t="s">
        <v>39</v>
      </c>
      <c r="C314" s="67" t="s">
        <v>142</v>
      </c>
      <c r="D314" s="67"/>
      <c r="E314" s="69"/>
      <c r="F314" s="68"/>
      <c r="G314" s="103">
        <f>SUM(G316)</f>
        <v>2271.5</v>
      </c>
      <c r="H314" s="103">
        <f>SUM(H316)</f>
        <v>605</v>
      </c>
      <c r="I314" s="103">
        <f t="shared" si="8"/>
        <v>26.634382566585955</v>
      </c>
    </row>
    <row r="315" spans="1:9" ht="18.75" customHeight="1">
      <c r="A315" s="48" t="s">
        <v>95</v>
      </c>
      <c r="B315" s="67" t="s">
        <v>39</v>
      </c>
      <c r="C315" s="67" t="s">
        <v>96</v>
      </c>
      <c r="D315" s="67"/>
      <c r="E315" s="69"/>
      <c r="F315" s="102"/>
      <c r="G315" s="103">
        <f>SUM(G316)</f>
        <v>2271.5</v>
      </c>
      <c r="H315" s="103">
        <f>SUM(H316)</f>
        <v>605</v>
      </c>
      <c r="I315" s="103">
        <f t="shared" si="8"/>
        <v>26.634382566585955</v>
      </c>
    </row>
    <row r="316" spans="1:9" ht="24.75" customHeight="1">
      <c r="A316" s="48" t="s">
        <v>268</v>
      </c>
      <c r="B316" s="67" t="s">
        <v>39</v>
      </c>
      <c r="C316" s="67" t="s">
        <v>96</v>
      </c>
      <c r="D316" s="67" t="s">
        <v>145</v>
      </c>
      <c r="E316" s="69">
        <v>0</v>
      </c>
      <c r="F316" s="68"/>
      <c r="G316" s="103">
        <f>SUM(G317:G318)</f>
        <v>2271.5</v>
      </c>
      <c r="H316" s="103">
        <f>SUM(H317:H318)</f>
        <v>605</v>
      </c>
      <c r="I316" s="103">
        <f t="shared" si="8"/>
        <v>26.634382566585955</v>
      </c>
    </row>
    <row r="317" spans="1:9" ht="24">
      <c r="A317" s="48" t="s">
        <v>160</v>
      </c>
      <c r="B317" s="67" t="s">
        <v>39</v>
      </c>
      <c r="C317" s="67" t="s">
        <v>96</v>
      </c>
      <c r="D317" s="67" t="s">
        <v>145</v>
      </c>
      <c r="E317" s="69">
        <v>0</v>
      </c>
      <c r="F317" s="68">
        <v>600</v>
      </c>
      <c r="G317" s="103">
        <v>1200</v>
      </c>
      <c r="H317" s="103">
        <v>605</v>
      </c>
      <c r="I317" s="103">
        <f t="shared" si="8"/>
        <v>50.416666666666664</v>
      </c>
    </row>
    <row r="318" spans="1:9" ht="84">
      <c r="A318" s="48" t="s">
        <v>205</v>
      </c>
      <c r="B318" s="67" t="s">
        <v>39</v>
      </c>
      <c r="C318" s="67" t="s">
        <v>96</v>
      </c>
      <c r="D318" s="67" t="s">
        <v>145</v>
      </c>
      <c r="E318" s="69">
        <v>0</v>
      </c>
      <c r="F318" s="68">
        <v>600</v>
      </c>
      <c r="G318" s="103">
        <f>1049.4+22.1</f>
        <v>1071.5</v>
      </c>
      <c r="H318" s="103">
        <v>0</v>
      </c>
      <c r="I318" s="103">
        <f t="shared" si="8"/>
        <v>0</v>
      </c>
    </row>
    <row r="319" spans="1:9" ht="12.75">
      <c r="A319" s="48" t="s">
        <v>97</v>
      </c>
      <c r="B319" s="67" t="s">
        <v>39</v>
      </c>
      <c r="C319" s="67" t="s">
        <v>143</v>
      </c>
      <c r="D319" s="67"/>
      <c r="E319" s="69"/>
      <c r="F319" s="68"/>
      <c r="G319" s="103">
        <f>SUM(G322)</f>
        <v>0</v>
      </c>
      <c r="H319" s="103">
        <f>SUM(H322)</f>
        <v>0</v>
      </c>
      <c r="I319" s="103">
        <v>0</v>
      </c>
    </row>
    <row r="320" spans="1:9" ht="12.75">
      <c r="A320" s="48" t="s">
        <v>171</v>
      </c>
      <c r="B320" s="67" t="s">
        <v>39</v>
      </c>
      <c r="C320" s="67" t="s">
        <v>99</v>
      </c>
      <c r="D320" s="67"/>
      <c r="E320" s="69"/>
      <c r="F320" s="68"/>
      <c r="G320" s="103">
        <f>SUM(G321)</f>
        <v>0</v>
      </c>
      <c r="H320" s="103">
        <f>SUM(H321)</f>
        <v>0</v>
      </c>
      <c r="I320" s="103">
        <v>0</v>
      </c>
    </row>
    <row r="321" spans="1:9" ht="24">
      <c r="A321" s="48" t="s">
        <v>159</v>
      </c>
      <c r="B321" s="67" t="s">
        <v>39</v>
      </c>
      <c r="C321" s="67" t="s">
        <v>99</v>
      </c>
      <c r="D321" s="67" t="s">
        <v>16</v>
      </c>
      <c r="E321" s="69">
        <v>0</v>
      </c>
      <c r="F321" s="68"/>
      <c r="G321" s="103">
        <f>SUM(G322)</f>
        <v>0</v>
      </c>
      <c r="H321" s="103">
        <f>SUM(H322)</f>
        <v>0</v>
      </c>
      <c r="I321" s="103">
        <v>0</v>
      </c>
    </row>
    <row r="322" spans="1:9" ht="12.75">
      <c r="A322" s="48" t="s">
        <v>304</v>
      </c>
      <c r="B322" s="67" t="s">
        <v>39</v>
      </c>
      <c r="C322" s="67" t="s">
        <v>99</v>
      </c>
      <c r="D322" s="67" t="s">
        <v>16</v>
      </c>
      <c r="E322" s="69">
        <v>0</v>
      </c>
      <c r="F322" s="68">
        <v>700</v>
      </c>
      <c r="G322" s="103">
        <f>150-150</f>
        <v>0</v>
      </c>
      <c r="H322" s="103">
        <f>150-150</f>
        <v>0</v>
      </c>
      <c r="I322" s="103">
        <v>0</v>
      </c>
    </row>
    <row r="323" spans="1:9" ht="24">
      <c r="A323" s="48" t="s">
        <v>173</v>
      </c>
      <c r="B323" s="67" t="s">
        <v>39</v>
      </c>
      <c r="C323" s="67" t="s">
        <v>174</v>
      </c>
      <c r="D323" s="67"/>
      <c r="E323" s="69"/>
      <c r="F323" s="68"/>
      <c r="G323" s="103">
        <f aca="true" t="shared" si="9" ref="G323:H325">SUM(G324)</f>
        <v>15643.5</v>
      </c>
      <c r="H323" s="103">
        <f t="shared" si="9"/>
        <v>0</v>
      </c>
      <c r="I323" s="103">
        <f t="shared" si="8"/>
        <v>0</v>
      </c>
    </row>
    <row r="324" spans="1:9" ht="12.75">
      <c r="A324" s="48" t="s">
        <v>175</v>
      </c>
      <c r="B324" s="67" t="s">
        <v>39</v>
      </c>
      <c r="C324" s="67" t="s">
        <v>176</v>
      </c>
      <c r="D324" s="67"/>
      <c r="E324" s="69"/>
      <c r="F324" s="68"/>
      <c r="G324" s="103">
        <f t="shared" si="9"/>
        <v>15643.5</v>
      </c>
      <c r="H324" s="103">
        <f t="shared" si="9"/>
        <v>0</v>
      </c>
      <c r="I324" s="103">
        <f t="shared" si="8"/>
        <v>0</v>
      </c>
    </row>
    <row r="325" spans="1:9" ht="24">
      <c r="A325" s="48" t="s">
        <v>159</v>
      </c>
      <c r="B325" s="67" t="s">
        <v>39</v>
      </c>
      <c r="C325" s="67" t="s">
        <v>176</v>
      </c>
      <c r="D325" s="67" t="s">
        <v>16</v>
      </c>
      <c r="E325" s="69">
        <v>0</v>
      </c>
      <c r="F325" s="68"/>
      <c r="G325" s="103">
        <f t="shared" si="9"/>
        <v>15643.5</v>
      </c>
      <c r="H325" s="103">
        <f t="shared" si="9"/>
        <v>0</v>
      </c>
      <c r="I325" s="103">
        <f t="shared" si="8"/>
        <v>0</v>
      </c>
    </row>
    <row r="326" spans="1:9" ht="12.75">
      <c r="A326" s="48" t="s">
        <v>162</v>
      </c>
      <c r="B326" s="67" t="s">
        <v>39</v>
      </c>
      <c r="C326" s="67" t="s">
        <v>176</v>
      </c>
      <c r="D326" s="67" t="s">
        <v>16</v>
      </c>
      <c r="E326" s="69">
        <v>0</v>
      </c>
      <c r="F326" s="68">
        <v>500</v>
      </c>
      <c r="G326" s="103">
        <f>17567-1923.5</f>
        <v>15643.5</v>
      </c>
      <c r="H326" s="103">
        <v>0</v>
      </c>
      <c r="I326" s="103">
        <f t="shared" si="8"/>
        <v>0</v>
      </c>
    </row>
    <row r="327" spans="1:9" ht="12.75">
      <c r="A327" s="48" t="s">
        <v>100</v>
      </c>
      <c r="B327" s="67"/>
      <c r="C327" s="67"/>
      <c r="D327" s="67"/>
      <c r="E327" s="69"/>
      <c r="F327" s="68"/>
      <c r="G327" s="103">
        <f>SUM(G10+G18+G26)</f>
        <v>562385.44158</v>
      </c>
      <c r="H327" s="103">
        <f>SUM(H10+H18+H26)</f>
        <v>77985.73172</v>
      </c>
      <c r="I327" s="103">
        <f t="shared" si="8"/>
        <v>13.866954219316582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28"/>
  <sheetViews>
    <sheetView showGridLines="0" zoomScale="110" zoomScaleNormal="110" zoomScalePageLayoutView="0" workbookViewId="0" topLeftCell="A1">
      <pane ySplit="9" topLeftCell="A47" activePane="bottomLeft" state="frozen"/>
      <selection pane="topLeft" activeCell="A1" sqref="A1"/>
      <selection pane="bottomLeft" activeCell="J9" sqref="J9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8.8515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61"/>
      <c r="B1" s="62"/>
      <c r="C1" s="63"/>
      <c r="D1" s="63"/>
      <c r="E1" s="63"/>
      <c r="F1" s="106"/>
      <c r="G1" s="106"/>
      <c r="H1" s="106"/>
    </row>
    <row r="2" spans="1:8" ht="12.75" customHeight="1">
      <c r="A2" s="61"/>
      <c r="B2" s="106" t="s">
        <v>146</v>
      </c>
      <c r="C2" s="106"/>
      <c r="D2" s="106"/>
      <c r="E2" s="106"/>
      <c r="F2" s="106"/>
      <c r="G2" s="106"/>
      <c r="H2" s="106"/>
    </row>
    <row r="3" spans="1:8" ht="18.75" customHeight="1">
      <c r="A3" s="61"/>
      <c r="B3" s="62"/>
      <c r="C3" s="62"/>
      <c r="D3" s="64"/>
      <c r="E3" s="106" t="s">
        <v>147</v>
      </c>
      <c r="F3" s="106"/>
      <c r="G3" s="106"/>
      <c r="H3" s="106"/>
    </row>
    <row r="4" spans="1:8" ht="18.75" customHeight="1">
      <c r="A4" s="106" t="s">
        <v>157</v>
      </c>
      <c r="B4" s="106"/>
      <c r="C4" s="106"/>
      <c r="D4" s="106"/>
      <c r="E4" s="106"/>
      <c r="F4" s="106"/>
      <c r="G4" s="106"/>
      <c r="H4" s="106"/>
    </row>
    <row r="5" spans="1:5" ht="15">
      <c r="A5" s="8"/>
      <c r="B5" s="1"/>
      <c r="C5" s="1"/>
      <c r="D5" s="5"/>
      <c r="E5" s="10"/>
    </row>
    <row r="6" spans="1:8" ht="33" customHeight="1">
      <c r="A6" s="113" t="s">
        <v>350</v>
      </c>
      <c r="B6" s="113"/>
      <c r="C6" s="113"/>
      <c r="D6" s="113"/>
      <c r="E6" s="113"/>
      <c r="F6" s="113"/>
      <c r="G6" s="113"/>
      <c r="H6" s="113"/>
    </row>
    <row r="7" spans="1:5" ht="12.75">
      <c r="A7" s="30"/>
      <c r="B7" s="31"/>
      <c r="C7" s="31"/>
      <c r="D7" s="32"/>
      <c r="E7" s="33"/>
    </row>
    <row r="8" spans="1:8" ht="12.75">
      <c r="A8" s="30"/>
      <c r="B8" s="31"/>
      <c r="C8" s="31"/>
      <c r="D8" s="32"/>
      <c r="E8" s="33"/>
      <c r="F8" s="112"/>
      <c r="G8" s="112"/>
      <c r="H8" s="87" t="s">
        <v>303</v>
      </c>
    </row>
    <row r="9" spans="1:8" ht="87.75" customHeight="1">
      <c r="A9" s="35" t="s">
        <v>1</v>
      </c>
      <c r="B9" s="60" t="s">
        <v>184</v>
      </c>
      <c r="C9" s="47" t="s">
        <v>227</v>
      </c>
      <c r="D9" s="37" t="s">
        <v>8</v>
      </c>
      <c r="E9" s="38" t="s">
        <v>158</v>
      </c>
      <c r="F9" s="34" t="s">
        <v>339</v>
      </c>
      <c r="G9" s="34" t="s">
        <v>340</v>
      </c>
      <c r="H9" s="34" t="s">
        <v>338</v>
      </c>
    </row>
    <row r="10" spans="1:8" s="4" customFormat="1" ht="12.75" outlineLevel="3">
      <c r="A10" s="48" t="str">
        <f>'Приложение 3'!A11</f>
        <v>ОБЩЕГОСУДАРСТВЕННЫЕ ВОПРОСЫ</v>
      </c>
      <c r="B10" s="79" t="str">
        <f>'Приложение 3'!C11</f>
        <v>0100</v>
      </c>
      <c r="C10" s="79"/>
      <c r="D10" s="79"/>
      <c r="E10" s="79"/>
      <c r="F10" s="65">
        <f>SUM(F11+F20+F50+F54+F57+F14+F44+F40)</f>
        <v>62599.62879</v>
      </c>
      <c r="G10" s="65">
        <f>SUM(G11+G20+G50+G54+G57+G14+G44+G40)</f>
        <v>14894.445989999997</v>
      </c>
      <c r="H10" s="65">
        <f aca="true" t="shared" si="0" ref="H10:H73">SUM(G10/F10)*100</f>
        <v>23.79318580301121</v>
      </c>
    </row>
    <row r="11" spans="1:8" s="4" customFormat="1" ht="24" outlineLevel="3">
      <c r="A11" s="48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9" t="str">
        <f>'Приложение 3'!C28</f>
        <v>0102</v>
      </c>
      <c r="C11" s="79"/>
      <c r="D11" s="79"/>
      <c r="E11" s="79"/>
      <c r="F11" s="65">
        <f>SUM(F12)</f>
        <v>1710</v>
      </c>
      <c r="G11" s="65">
        <f>SUM(G12)</f>
        <v>290.41642</v>
      </c>
      <c r="H11" s="65">
        <f t="shared" si="0"/>
        <v>16.983416374269005</v>
      </c>
    </row>
    <row r="12" spans="1:8" s="4" customFormat="1" ht="36" outlineLevel="3">
      <c r="A12" s="48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9" t="str">
        <f>'Приложение 3'!C29</f>
        <v>0102</v>
      </c>
      <c r="C12" s="79" t="s">
        <v>11</v>
      </c>
      <c r="D12" s="79" t="s">
        <v>9</v>
      </c>
      <c r="E12" s="79">
        <v>100</v>
      </c>
      <c r="F12" s="65">
        <f>SUM(F13)</f>
        <v>1710</v>
      </c>
      <c r="G12" s="65">
        <f>SUM(G13)</f>
        <v>290.41642</v>
      </c>
      <c r="H12" s="65">
        <f t="shared" si="0"/>
        <v>16.983416374269005</v>
      </c>
    </row>
    <row r="13" spans="1:8" ht="48" outlineLevel="1">
      <c r="A13" s="48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9" t="str">
        <f>'Приложение 3'!C30</f>
        <v>0102</v>
      </c>
      <c r="C13" s="79" t="s">
        <v>11</v>
      </c>
      <c r="D13" s="79">
        <v>0</v>
      </c>
      <c r="E13" s="79">
        <v>100</v>
      </c>
      <c r="F13" s="65">
        <f>SUM('Приложение 3'!G30)</f>
        <v>1710</v>
      </c>
      <c r="G13" s="65">
        <f>SUM('Приложение 3'!H30)</f>
        <v>290.41642</v>
      </c>
      <c r="H13" s="65">
        <f t="shared" si="0"/>
        <v>16.983416374269005</v>
      </c>
    </row>
    <row r="14" spans="1:8" ht="37.5" customHeight="1" outlineLevel="1">
      <c r="A14" s="48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9" t="str">
        <f>'Приложение 3'!C12</f>
        <v>0103</v>
      </c>
      <c r="C14" s="80"/>
      <c r="D14" s="79"/>
      <c r="E14" s="79"/>
      <c r="F14" s="65">
        <f>SUBTOTAL(9,'Приложение 3'!G11)</f>
        <v>450</v>
      </c>
      <c r="G14" s="65">
        <f>SUBTOTAL(9,'Приложение 3'!H11)</f>
        <v>69.08759</v>
      </c>
      <c r="H14" s="65">
        <f t="shared" si="0"/>
        <v>15.352797777777779</v>
      </c>
    </row>
    <row r="15" spans="1:8" ht="24.75" customHeight="1" outlineLevel="1">
      <c r="A15" s="48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9" t="str">
        <f>'Приложение 3'!C13</f>
        <v>0103</v>
      </c>
      <c r="C15" s="80"/>
      <c r="D15" s="79"/>
      <c r="E15" s="79"/>
      <c r="F15" s="65">
        <f>SUBTOTAL(9,'Приложение 3'!G12)</f>
        <v>450</v>
      </c>
      <c r="G15" s="65">
        <f>SUBTOTAL(9,'Приложение 3'!H12)</f>
        <v>69.08759</v>
      </c>
      <c r="H15" s="65">
        <f t="shared" si="0"/>
        <v>15.352797777777779</v>
      </c>
    </row>
    <row r="16" spans="1:8" ht="48" outlineLevel="1">
      <c r="A16" s="48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9" t="str">
        <f>'Приложение 3'!C14</f>
        <v>0103</v>
      </c>
      <c r="C16" s="79" t="str">
        <f>'Приложение 3'!D14</f>
        <v>90</v>
      </c>
      <c r="D16" s="79" t="str">
        <f>'Приложение 3'!E14</f>
        <v>0</v>
      </c>
      <c r="E16" s="79">
        <f>'Приложение 3'!F14</f>
        <v>100</v>
      </c>
      <c r="F16" s="65">
        <f>SUBTOTAL(9,'Приложение 3'!G14)</f>
        <v>390</v>
      </c>
      <c r="G16" s="65">
        <f>SUBTOTAL(9,'Приложение 3'!H14)</f>
        <v>66.08759</v>
      </c>
      <c r="H16" s="65">
        <f t="shared" si="0"/>
        <v>16.9455358974359</v>
      </c>
    </row>
    <row r="17" spans="1:8" ht="24" outlineLevel="1">
      <c r="A17" s="48" t="str">
        <f>'Приложение 3'!A15</f>
        <v>Закупка товаров, работ и услуг для государственных (муниципальных) нужд</v>
      </c>
      <c r="B17" s="79" t="str">
        <f>'Приложение 3'!C15</f>
        <v>0103</v>
      </c>
      <c r="C17" s="79" t="str">
        <f>'Приложение 3'!D15</f>
        <v>90</v>
      </c>
      <c r="D17" s="79">
        <f>'Приложение 3'!E15</f>
        <v>0</v>
      </c>
      <c r="E17" s="79">
        <f>'Приложение 3'!F15</f>
        <v>200</v>
      </c>
      <c r="F17" s="65">
        <f>SUBTOTAL(9,'Приложение 3'!G15)</f>
        <v>60.00000000000001</v>
      </c>
      <c r="G17" s="65">
        <f>SUBTOTAL(9,'Приложение 3'!H15)</f>
        <v>3</v>
      </c>
      <c r="H17" s="65">
        <f t="shared" si="0"/>
        <v>5</v>
      </c>
    </row>
    <row r="18" spans="1:8" ht="27.75" customHeight="1" hidden="1" outlineLevel="1">
      <c r="A18" s="48" t="str">
        <f>'Приложение 3'!A16</f>
        <v>Непрограммные расходы органов местного самоуправления Алексеевского муниципального района</v>
      </c>
      <c r="B18" s="79" t="str">
        <f>'Приложение 3'!C16</f>
        <v>0103</v>
      </c>
      <c r="C18" s="79" t="str">
        <f>'Приложение 3'!D16</f>
        <v>99</v>
      </c>
      <c r="D18" s="79">
        <f>'Приложение 3'!E16</f>
        <v>0</v>
      </c>
      <c r="E18" s="81"/>
      <c r="F18" s="65">
        <f>SUBTOTAL(9,'Приложение 3'!G16)</f>
        <v>0</v>
      </c>
      <c r="G18" s="65">
        <f>SUBTOTAL(9,'Приложение 3'!H16)</f>
        <v>0</v>
      </c>
      <c r="H18" s="65" t="e">
        <f t="shared" si="0"/>
        <v>#DIV/0!</v>
      </c>
    </row>
    <row r="19" spans="1:8" ht="12.75" hidden="1" outlineLevel="1">
      <c r="A19" s="48" t="str">
        <f>'Приложение 3'!A17</f>
        <v>Иные бюджетные ассигнования</v>
      </c>
      <c r="B19" s="79" t="str">
        <f>'Приложение 3'!C17</f>
        <v>0103</v>
      </c>
      <c r="C19" s="79" t="str">
        <f>'Приложение 3'!D17</f>
        <v>99</v>
      </c>
      <c r="D19" s="79">
        <f>'Приложение 3'!E17</f>
        <v>0</v>
      </c>
      <c r="E19" s="79">
        <f>'Приложение 3'!F17</f>
        <v>800</v>
      </c>
      <c r="F19" s="65">
        <f>SUBTOTAL(9,'Приложение 3'!G17)</f>
        <v>0</v>
      </c>
      <c r="G19" s="65">
        <f>SUBTOTAL(9,'Приложение 3'!H17)</f>
        <v>0</v>
      </c>
      <c r="H19" s="65" t="e">
        <f t="shared" si="0"/>
        <v>#DIV/0!</v>
      </c>
    </row>
    <row r="20" spans="1:8" ht="36" outlineLevel="2">
      <c r="A20" s="49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0" t="str">
        <f>'Приложение 3'!C31</f>
        <v>0104</v>
      </c>
      <c r="C20" s="80"/>
      <c r="D20" s="80"/>
      <c r="E20" s="80"/>
      <c r="F20" s="65">
        <f>'Приложение 3'!G31</f>
        <v>29631.3</v>
      </c>
      <c r="G20" s="65">
        <f>'Приложение 3'!H31</f>
        <v>5351.10686</v>
      </c>
      <c r="H20" s="65">
        <f t="shared" si="0"/>
        <v>18.05896757820278</v>
      </c>
    </row>
    <row r="21" spans="1:8" s="4" customFormat="1" ht="36" outlineLevel="3">
      <c r="A21" s="49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0" t="str">
        <f>'Приложение 3'!C32</f>
        <v>0104</v>
      </c>
      <c r="C21" s="80" t="str">
        <f>'Приложение 3'!D32</f>
        <v>90</v>
      </c>
      <c r="D21" s="80">
        <f>'Приложение 3'!E32</f>
        <v>0</v>
      </c>
      <c r="E21" s="80"/>
      <c r="F21" s="65">
        <f>'Приложение 3'!G32</f>
        <v>29581.3</v>
      </c>
      <c r="G21" s="65">
        <f>'Приложение 3'!H32</f>
        <v>5341.17818</v>
      </c>
      <c r="H21" s="65">
        <f t="shared" si="0"/>
        <v>18.055927832786253</v>
      </c>
    </row>
    <row r="22" spans="1:8" s="4" customFormat="1" ht="12.75" outlineLevel="3">
      <c r="A22" s="49" t="str">
        <f>'Приложение 3'!A33</f>
        <v>Центральный аппарат</v>
      </c>
      <c r="B22" s="80" t="str">
        <f>'Приложение 3'!C33</f>
        <v>0104</v>
      </c>
      <c r="C22" s="80" t="str">
        <f>'Приложение 3'!D33</f>
        <v>90</v>
      </c>
      <c r="D22" s="80">
        <f>'Приложение 3'!E33</f>
        <v>0</v>
      </c>
      <c r="E22" s="80"/>
      <c r="F22" s="65">
        <f>'Приложение 3'!G33</f>
        <v>27839.899999999998</v>
      </c>
      <c r="G22" s="65">
        <f>'Приложение 3'!H33</f>
        <v>4978.94014</v>
      </c>
      <c r="H22" s="65">
        <f t="shared" si="0"/>
        <v>17.884188305274083</v>
      </c>
    </row>
    <row r="23" spans="1:8" s="4" customFormat="1" ht="48" outlineLevel="3">
      <c r="A23" s="49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0" t="str">
        <f>'Приложение 3'!C34</f>
        <v>0104</v>
      </c>
      <c r="C23" s="80" t="str">
        <f>'Приложение 3'!D34</f>
        <v>90</v>
      </c>
      <c r="D23" s="80">
        <f>'Приложение 3'!E34</f>
        <v>0</v>
      </c>
      <c r="E23" s="80">
        <f>'Приложение 3'!F34</f>
        <v>100</v>
      </c>
      <c r="F23" s="65">
        <f>'Приложение 3'!G34</f>
        <v>25839.899999999998</v>
      </c>
      <c r="G23" s="65">
        <f>'Приложение 3'!H34</f>
        <v>4750.66731</v>
      </c>
      <c r="H23" s="65">
        <f t="shared" si="0"/>
        <v>18.38500655962291</v>
      </c>
    </row>
    <row r="24" spans="1:8" ht="24" outlineLevel="1">
      <c r="A24" s="49" t="str">
        <f>'Приложение 3'!A35</f>
        <v>Закупка товаров, работ и услуг для государственных (муниципальных) нужд</v>
      </c>
      <c r="B24" s="80" t="str">
        <f>'Приложение 3'!C35</f>
        <v>0104</v>
      </c>
      <c r="C24" s="80" t="str">
        <f>'Приложение 3'!D35</f>
        <v>90</v>
      </c>
      <c r="D24" s="80">
        <f>'Приложение 3'!E35</f>
        <v>0</v>
      </c>
      <c r="E24" s="80">
        <f>'Приложение 3'!F35</f>
        <v>200</v>
      </c>
      <c r="F24" s="65">
        <f>'Приложение 3'!G35</f>
        <v>2000</v>
      </c>
      <c r="G24" s="65">
        <f>'Приложение 3'!H35</f>
        <v>228.27283</v>
      </c>
      <c r="H24" s="65">
        <f t="shared" si="0"/>
        <v>11.4136415</v>
      </c>
    </row>
    <row r="25" spans="1:8" ht="36" outlineLevel="2">
      <c r="A25" s="49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0" t="str">
        <f>'Приложение 3'!C36</f>
        <v>0104</v>
      </c>
      <c r="C25" s="80" t="str">
        <f>'Приложение 3'!D36</f>
        <v>90</v>
      </c>
      <c r="D25" s="80" t="str">
        <f>'Приложение 3'!E36</f>
        <v>0</v>
      </c>
      <c r="E25" s="80"/>
      <c r="F25" s="65">
        <f>'Приложение 3'!G36</f>
        <v>1741.3999999999999</v>
      </c>
      <c r="G25" s="65">
        <f>'Приложение 3'!H36</f>
        <v>362.23804</v>
      </c>
      <c r="H25" s="65">
        <f t="shared" si="0"/>
        <v>20.801541288618356</v>
      </c>
    </row>
    <row r="26" spans="1:8" ht="25.5" customHeight="1" outlineLevel="2">
      <c r="A26" s="49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80" t="str">
        <f>'Приложение 3'!C37</f>
        <v>0104</v>
      </c>
      <c r="C26" s="80" t="str">
        <f>'Приложение 3'!D37</f>
        <v>90</v>
      </c>
      <c r="D26" s="80" t="str">
        <f>'Приложение 3'!E37</f>
        <v>0</v>
      </c>
      <c r="E26" s="80"/>
      <c r="F26" s="65">
        <f>'Приложение 3'!G37</f>
        <v>296.7</v>
      </c>
      <c r="G26" s="65">
        <f>'Приложение 3'!H37</f>
        <v>62.69641</v>
      </c>
      <c r="H26" s="65">
        <f t="shared" si="0"/>
        <v>21.13124705089316</v>
      </c>
    </row>
    <row r="27" spans="1:8" ht="48.75" customHeight="1" collapsed="1">
      <c r="A27" s="49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0" t="s">
        <v>40</v>
      </c>
      <c r="C27" s="80" t="s">
        <v>11</v>
      </c>
      <c r="D27" s="77">
        <v>0</v>
      </c>
      <c r="E27" s="79">
        <v>100</v>
      </c>
      <c r="F27" s="65">
        <f>'Приложение 3'!G38</f>
        <v>296.7</v>
      </c>
      <c r="G27" s="65">
        <f>'Приложение 3'!H38</f>
        <v>62.69641</v>
      </c>
      <c r="H27" s="65">
        <f t="shared" si="0"/>
        <v>21.13124705089316</v>
      </c>
    </row>
    <row r="28" spans="1:8" ht="24" hidden="1" outlineLevel="1">
      <c r="A28" s="49" t="str">
        <f>'Приложение 3'!A39</f>
        <v>Закупка товаров, работ и услуг для государственных (муниципальных) нужд</v>
      </c>
      <c r="B28" s="80" t="str">
        <f>'Приложение 3'!C39</f>
        <v>0104</v>
      </c>
      <c r="C28" s="80" t="str">
        <f>'Приложение 3'!D39</f>
        <v>90</v>
      </c>
      <c r="D28" s="80" t="str">
        <f>'Приложение 3'!E39</f>
        <v>0</v>
      </c>
      <c r="E28" s="80">
        <f>'Приложение 3'!F39</f>
        <v>200</v>
      </c>
      <c r="F28" s="65">
        <f>'Приложение 3'!G39</f>
        <v>0</v>
      </c>
      <c r="G28" s="65">
        <f>'Приложение 3'!H39</f>
        <v>0</v>
      </c>
      <c r="H28" s="65" t="e">
        <f t="shared" si="0"/>
        <v>#DIV/0!</v>
      </c>
    </row>
    <row r="29" spans="1:8" ht="24" outlineLevel="2">
      <c r="A29" s="49" t="str">
        <f>'Приложение 3'!A40</f>
        <v>За счет субвенции на организацию и осуществление деятельности по опеке и попечительству</v>
      </c>
      <c r="B29" s="80" t="str">
        <f>'Приложение 3'!C40</f>
        <v>0104</v>
      </c>
      <c r="C29" s="80" t="str">
        <f>'Приложение 3'!D40</f>
        <v>90</v>
      </c>
      <c r="D29" s="80" t="str">
        <f>'Приложение 3'!E40</f>
        <v>0</v>
      </c>
      <c r="E29" s="80"/>
      <c r="F29" s="65">
        <f>'Приложение 3'!G40</f>
        <v>666.9</v>
      </c>
      <c r="G29" s="65">
        <f>'Приложение 3'!H40</f>
        <v>166.725</v>
      </c>
      <c r="H29" s="65">
        <f t="shared" si="0"/>
        <v>25</v>
      </c>
    </row>
    <row r="30" spans="1:8" ht="48" outlineLevel="1">
      <c r="A30" s="49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0" t="str">
        <f>'Приложение 3'!C41</f>
        <v>0104</v>
      </c>
      <c r="C30" s="80" t="str">
        <f>'Приложение 3'!D41</f>
        <v>90</v>
      </c>
      <c r="D30" s="80" t="str">
        <f>'Приложение 3'!E41</f>
        <v>0</v>
      </c>
      <c r="E30" s="80">
        <f>'Приложение 3'!F41</f>
        <v>100</v>
      </c>
      <c r="F30" s="65">
        <f>'Приложение 3'!G41</f>
        <v>651.9</v>
      </c>
      <c r="G30" s="65">
        <f>'Приложение 3'!H41</f>
        <v>166.30641</v>
      </c>
      <c r="H30" s="65">
        <f t="shared" si="0"/>
        <v>25.51103083294984</v>
      </c>
    </row>
    <row r="31" spans="1:8" ht="24" outlineLevel="5">
      <c r="A31" s="49" t="str">
        <f>'Приложение 3'!A42</f>
        <v>Закупка товаров, работ и услуг для государственных (муниципальных) нужд</v>
      </c>
      <c r="B31" s="80" t="str">
        <f>'Приложение 3'!C42</f>
        <v>0104</v>
      </c>
      <c r="C31" s="80" t="str">
        <f>'Приложение 3'!D42</f>
        <v>90</v>
      </c>
      <c r="D31" s="80" t="str">
        <f>'Приложение 3'!E42</f>
        <v>0</v>
      </c>
      <c r="E31" s="80">
        <f>'Приложение 3'!F42</f>
        <v>200</v>
      </c>
      <c r="F31" s="65">
        <f>'Приложение 3'!G42</f>
        <v>15</v>
      </c>
      <c r="G31" s="65">
        <f>'Приложение 3'!H42</f>
        <v>0.41859</v>
      </c>
      <c r="H31" s="65">
        <f t="shared" si="0"/>
        <v>2.7906</v>
      </c>
    </row>
    <row r="32" spans="1:8" ht="39.75" customHeight="1" outlineLevel="5">
      <c r="A32" s="49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0" t="str">
        <f>'Приложение 3'!C43</f>
        <v>0104</v>
      </c>
      <c r="C32" s="80" t="str">
        <f>'Приложение 3'!D43</f>
        <v>90</v>
      </c>
      <c r="D32" s="80" t="str">
        <f>'Приложение 3'!E43</f>
        <v>0</v>
      </c>
      <c r="E32" s="80"/>
      <c r="F32" s="65">
        <f>'Приложение 3'!G43</f>
        <v>315.8</v>
      </c>
      <c r="G32" s="65">
        <f>'Приложение 3'!H43</f>
        <v>77.03203</v>
      </c>
      <c r="H32" s="65">
        <f t="shared" si="0"/>
        <v>24.392663077897407</v>
      </c>
    </row>
    <row r="33" spans="1:8" ht="48" outlineLevel="5">
      <c r="A33" s="49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0" t="str">
        <f>'Приложение 3'!C44</f>
        <v>0104</v>
      </c>
      <c r="C33" s="80" t="str">
        <f>'Приложение 3'!D44</f>
        <v>90</v>
      </c>
      <c r="D33" s="80" t="str">
        <f>'Приложение 3'!E44</f>
        <v>0</v>
      </c>
      <c r="E33" s="80">
        <f>'Приложение 3'!F44</f>
        <v>100</v>
      </c>
      <c r="F33" s="65">
        <f>'Приложение 3'!G44</f>
        <v>315.8</v>
      </c>
      <c r="G33" s="65">
        <f>'Приложение 3'!H44</f>
        <v>77.03203</v>
      </c>
      <c r="H33" s="65">
        <f t="shared" si="0"/>
        <v>24.392663077897407</v>
      </c>
    </row>
    <row r="34" spans="1:8" ht="24" hidden="1" outlineLevel="2">
      <c r="A34" s="49" t="str">
        <f>'Приложение 3'!A45</f>
        <v>Закупка товаров, работ и услуг для государственных (муниципальных) нужд</v>
      </c>
      <c r="B34" s="80" t="str">
        <f>'Приложение 3'!C45</f>
        <v>0104</v>
      </c>
      <c r="C34" s="80" t="str">
        <f>'Приложение 3'!D45</f>
        <v>90</v>
      </c>
      <c r="D34" s="80" t="str">
        <f>'Приложение 3'!E45</f>
        <v>0</v>
      </c>
      <c r="E34" s="80">
        <f>'Приложение 3'!F45</f>
        <v>200</v>
      </c>
      <c r="F34" s="65">
        <f>'Приложение 3'!G45</f>
        <v>0</v>
      </c>
      <c r="G34" s="65">
        <f>'Приложение 3'!H45</f>
        <v>0</v>
      </c>
      <c r="H34" s="65" t="e">
        <f t="shared" si="0"/>
        <v>#DIV/0!</v>
      </c>
    </row>
    <row r="35" spans="1:8" ht="48" outlineLevel="4">
      <c r="A35" s="49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0" t="str">
        <f>'Приложение 3'!C46</f>
        <v>0104</v>
      </c>
      <c r="C35" s="80" t="str">
        <f>'Приложение 3'!D46</f>
        <v>90</v>
      </c>
      <c r="D35" s="80" t="str">
        <f>'Приложение 3'!E46</f>
        <v>0</v>
      </c>
      <c r="E35" s="80"/>
      <c r="F35" s="65">
        <f>'Приложение 3'!G46</f>
        <v>461.99999999999994</v>
      </c>
      <c r="G35" s="65">
        <f>'Приложение 3'!H46</f>
        <v>55.7846</v>
      </c>
      <c r="H35" s="65">
        <f t="shared" si="0"/>
        <v>12.074588744588747</v>
      </c>
    </row>
    <row r="36" spans="1:8" ht="48" outlineLevel="4">
      <c r="A36" s="49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0" t="str">
        <f>'Приложение 3'!C47</f>
        <v>0104</v>
      </c>
      <c r="C36" s="80" t="str">
        <f>'Приложение 3'!D47</f>
        <v>90</v>
      </c>
      <c r="D36" s="80" t="str">
        <f>'Приложение 3'!E47</f>
        <v>0</v>
      </c>
      <c r="E36" s="80">
        <f>'Приложение 3'!F47</f>
        <v>100</v>
      </c>
      <c r="F36" s="65">
        <f>'Приложение 3'!G47</f>
        <v>53.174</v>
      </c>
      <c r="G36" s="65">
        <f>'Приложение 3'!H47</f>
        <v>16.336</v>
      </c>
      <c r="H36" s="65">
        <f t="shared" si="0"/>
        <v>30.721781321698572</v>
      </c>
    </row>
    <row r="37" spans="1:8" ht="24" outlineLevel="5">
      <c r="A37" s="49" t="str">
        <f>'Приложение 3'!A48</f>
        <v>Закупка товаров, работ и услуг для государственных (муниципальных) нужд</v>
      </c>
      <c r="B37" s="80" t="str">
        <f>'Приложение 3'!C48</f>
        <v>0104</v>
      </c>
      <c r="C37" s="80" t="str">
        <f>'Приложение 3'!D48</f>
        <v>90</v>
      </c>
      <c r="D37" s="80" t="str">
        <f>'Приложение 3'!E48</f>
        <v>0</v>
      </c>
      <c r="E37" s="80">
        <f>'Приложение 3'!F48</f>
        <v>200</v>
      </c>
      <c r="F37" s="65">
        <f>'Приложение 3'!G48</f>
        <v>408.82599999999996</v>
      </c>
      <c r="G37" s="65">
        <f>'Приложение 3'!H48</f>
        <v>39.4486</v>
      </c>
      <c r="H37" s="65">
        <f t="shared" si="0"/>
        <v>9.649239529775503</v>
      </c>
    </row>
    <row r="38" spans="1:8" ht="36" outlineLevel="4">
      <c r="A38" s="49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0" t="str">
        <f>'Приложение 3'!C49</f>
        <v>0104</v>
      </c>
      <c r="C38" s="80" t="str">
        <f>'Приложение 3'!D49</f>
        <v>01</v>
      </c>
      <c r="D38" s="80">
        <f>'Приложение 3'!E49</f>
        <v>0</v>
      </c>
      <c r="E38" s="80"/>
      <c r="F38" s="65">
        <f>'Приложение 3'!G49</f>
        <v>50</v>
      </c>
      <c r="G38" s="65">
        <f>'Приложение 3'!H49</f>
        <v>9.92868</v>
      </c>
      <c r="H38" s="65">
        <f t="shared" si="0"/>
        <v>19.85736</v>
      </c>
    </row>
    <row r="39" spans="1:8" ht="27" customHeight="1" outlineLevel="4">
      <c r="A39" s="49" t="str">
        <f>'Приложение 3'!A50</f>
        <v>Закупка товаров, работ и услуг для государственных (муниципальных) нужд</v>
      </c>
      <c r="B39" s="80" t="str">
        <f>'Приложение 3'!C50</f>
        <v>0104</v>
      </c>
      <c r="C39" s="80" t="str">
        <f>'Приложение 3'!D50</f>
        <v>01</v>
      </c>
      <c r="D39" s="80">
        <f>'Приложение 3'!E50</f>
        <v>0</v>
      </c>
      <c r="E39" s="80">
        <f>'Приложение 3'!F50</f>
        <v>200</v>
      </c>
      <c r="F39" s="65">
        <f>'Приложение 3'!G50</f>
        <v>50</v>
      </c>
      <c r="G39" s="65">
        <f>'Приложение 3'!H50</f>
        <v>9.92868</v>
      </c>
      <c r="H39" s="65">
        <f t="shared" si="0"/>
        <v>19.85736</v>
      </c>
    </row>
    <row r="40" spans="1:8" ht="12.75" outlineLevel="4">
      <c r="A40" s="49" t="str">
        <f>'Приложение 3'!A51</f>
        <v>Судебная система</v>
      </c>
      <c r="B40" s="80" t="str">
        <f>'Приложение 3'!C51</f>
        <v>0105</v>
      </c>
      <c r="C40" s="80"/>
      <c r="D40" s="80"/>
      <c r="E40" s="80"/>
      <c r="F40" s="65">
        <f>'Приложение 3'!G51</f>
        <v>3.4</v>
      </c>
      <c r="G40" s="65">
        <f>'Приложение 3'!H51</f>
        <v>0</v>
      </c>
      <c r="H40" s="65">
        <f t="shared" si="0"/>
        <v>0</v>
      </c>
    </row>
    <row r="41" spans="1:8" ht="36" outlineLevel="4">
      <c r="A41" s="49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0" t="str">
        <f>'Приложение 3'!C52</f>
        <v>0105</v>
      </c>
      <c r="C41" s="80" t="str">
        <f>'Приложение 3'!D52</f>
        <v>99</v>
      </c>
      <c r="D41" s="80">
        <f>'Приложение 3'!E52</f>
        <v>0</v>
      </c>
      <c r="E41" s="80"/>
      <c r="F41" s="65">
        <f>'Приложение 3'!G52</f>
        <v>3.4</v>
      </c>
      <c r="G41" s="65">
        <f>'Приложение 3'!H52</f>
        <v>0</v>
      </c>
      <c r="H41" s="65">
        <f t="shared" si="0"/>
        <v>0</v>
      </c>
    </row>
    <row r="42" spans="1:8" ht="24" outlineLevel="4">
      <c r="A42" s="49" t="str">
        <f>'Приложение 3'!A53</f>
        <v>Непрограммные расходы органов местного самоуправления Алексеевского муниципального района</v>
      </c>
      <c r="B42" s="80" t="str">
        <f>'Приложение 3'!C53</f>
        <v>0105</v>
      </c>
      <c r="C42" s="80" t="str">
        <f>'Приложение 3'!D53</f>
        <v>99</v>
      </c>
      <c r="D42" s="80">
        <f>'Приложение 3'!E53</f>
        <v>0</v>
      </c>
      <c r="E42" s="80"/>
      <c r="F42" s="65">
        <f>'Приложение 3'!G53</f>
        <v>3.4</v>
      </c>
      <c r="G42" s="65">
        <f>'Приложение 3'!H53</f>
        <v>0</v>
      </c>
      <c r="H42" s="65">
        <f t="shared" si="0"/>
        <v>0</v>
      </c>
    </row>
    <row r="43" spans="1:8" ht="24" outlineLevel="4">
      <c r="A43" s="49" t="str">
        <f>'Приложение 3'!A54</f>
        <v>Закупка товаров, работ и услуг для государственных (муниципальных) нужд</v>
      </c>
      <c r="B43" s="80" t="str">
        <f>'Приложение 3'!C54</f>
        <v>0105</v>
      </c>
      <c r="C43" s="80" t="str">
        <f>'Приложение 3'!D54</f>
        <v>99</v>
      </c>
      <c r="D43" s="80">
        <f>'Приложение 3'!E54</f>
        <v>0</v>
      </c>
      <c r="E43" s="80">
        <f>'Приложение 3'!F54</f>
        <v>200</v>
      </c>
      <c r="F43" s="65">
        <f>'Приложение 3'!G54</f>
        <v>3.4</v>
      </c>
      <c r="G43" s="65">
        <f>'Приложение 3'!H54</f>
        <v>0</v>
      </c>
      <c r="H43" s="65">
        <f t="shared" si="0"/>
        <v>0</v>
      </c>
    </row>
    <row r="44" spans="1:8" ht="36" outlineLevel="2">
      <c r="A44" s="48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0" t="str">
        <f>'Приложение 3'!C20</f>
        <v>0106</v>
      </c>
      <c r="C44" s="80"/>
      <c r="D44" s="80"/>
      <c r="E44" s="80"/>
      <c r="F44" s="65">
        <f>'Приложение 3'!G19</f>
        <v>1330.6</v>
      </c>
      <c r="G44" s="65">
        <f>'Приложение 3'!H19</f>
        <v>220.9654</v>
      </c>
      <c r="H44" s="65">
        <f t="shared" si="0"/>
        <v>16.60644821884864</v>
      </c>
    </row>
    <row r="45" spans="1:8" ht="36" outlineLevel="2">
      <c r="A45" s="48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0" t="str">
        <f>'Приложение 3'!C21</f>
        <v>0106</v>
      </c>
      <c r="C45" s="80" t="str">
        <f>'Приложение 3'!D21</f>
        <v>90</v>
      </c>
      <c r="D45" s="80" t="str">
        <f>'Приложение 3'!E21</f>
        <v>0</v>
      </c>
      <c r="E45" s="80"/>
      <c r="F45" s="65">
        <f>'Приложение 3'!G20</f>
        <v>1330.6</v>
      </c>
      <c r="G45" s="65">
        <f>'Приложение 3'!H20</f>
        <v>220.9654</v>
      </c>
      <c r="H45" s="65">
        <f t="shared" si="0"/>
        <v>16.60644821884864</v>
      </c>
    </row>
    <row r="46" spans="1:8" ht="48" outlineLevel="2">
      <c r="A46" s="48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0" t="str">
        <f>'Приложение 3'!C22</f>
        <v>0106</v>
      </c>
      <c r="C46" s="80" t="str">
        <f>'Приложение 3'!D22</f>
        <v>90</v>
      </c>
      <c r="D46" s="80" t="str">
        <f>'Приложение 3'!E22</f>
        <v>0</v>
      </c>
      <c r="E46" s="80">
        <f>'Приложение 3'!F22</f>
        <v>100</v>
      </c>
      <c r="F46" s="65">
        <f>'Приложение 3'!G22</f>
        <v>1305.1</v>
      </c>
      <c r="G46" s="65">
        <f>'Приложение 3'!H22</f>
        <v>220.9654</v>
      </c>
      <c r="H46" s="65">
        <f t="shared" si="0"/>
        <v>16.930917171098</v>
      </c>
    </row>
    <row r="47" spans="1:8" ht="24" outlineLevel="2">
      <c r="A47" s="48" t="str">
        <f>'Приложение 3'!A23</f>
        <v>Закупка товаров, работ и услуг для государственных (муниципальных) нужд</v>
      </c>
      <c r="B47" s="80" t="str">
        <f>'Приложение 3'!C23</f>
        <v>0106</v>
      </c>
      <c r="C47" s="80" t="str">
        <f>'Приложение 3'!D23</f>
        <v>90</v>
      </c>
      <c r="D47" s="80">
        <f>'Приложение 3'!E23</f>
        <v>0</v>
      </c>
      <c r="E47" s="80">
        <f>'Приложение 3'!F23</f>
        <v>200</v>
      </c>
      <c r="F47" s="65">
        <f>'Приложение 3'!G23</f>
        <v>20</v>
      </c>
      <c r="G47" s="65">
        <f>'Приложение 3'!H23</f>
        <v>0</v>
      </c>
      <c r="H47" s="65">
        <f t="shared" si="0"/>
        <v>0</v>
      </c>
    </row>
    <row r="48" spans="1:8" ht="28.5" customHeight="1" outlineLevel="2">
      <c r="A48" s="48" t="str">
        <f>'Приложение 3'!A24</f>
        <v>Непрограммные расходы органов местного самоуправления Алексеевского муниципального района</v>
      </c>
      <c r="B48" s="80" t="str">
        <f>'Приложение 3'!C24</f>
        <v>0106</v>
      </c>
      <c r="C48" s="80" t="str">
        <f>'Приложение 3'!D24</f>
        <v>99</v>
      </c>
      <c r="D48" s="80">
        <f>'Приложение 3'!E24</f>
        <v>0</v>
      </c>
      <c r="E48" s="80"/>
      <c r="F48" s="65">
        <f>'Приложение 3'!G24</f>
        <v>5.5</v>
      </c>
      <c r="G48" s="65">
        <f>'Приложение 3'!H24</f>
        <v>0</v>
      </c>
      <c r="H48" s="65">
        <f t="shared" si="0"/>
        <v>0</v>
      </c>
    </row>
    <row r="49" spans="1:8" ht="12.75" outlineLevel="2">
      <c r="A49" s="48" t="str">
        <f>'Приложение 3'!A25</f>
        <v>Иные бюджетные ассигнования</v>
      </c>
      <c r="B49" s="80" t="str">
        <f>'Приложение 3'!C25</f>
        <v>0106</v>
      </c>
      <c r="C49" s="80" t="str">
        <f>'Приложение 3'!D25</f>
        <v>99</v>
      </c>
      <c r="D49" s="80">
        <f>'Приложение 3'!E25</f>
        <v>0</v>
      </c>
      <c r="E49" s="80">
        <f>'Приложение 3'!F25</f>
        <v>800</v>
      </c>
      <c r="F49" s="65">
        <f>'Приложение 3'!G25</f>
        <v>5.5</v>
      </c>
      <c r="G49" s="65">
        <f>'Приложение 3'!H25</f>
        <v>0</v>
      </c>
      <c r="H49" s="65">
        <f t="shared" si="0"/>
        <v>0</v>
      </c>
    </row>
    <row r="50" spans="1:8" ht="1.5" customHeight="1" hidden="1" outlineLevel="2">
      <c r="A50" s="48" t="str">
        <f>'Приложение 3'!A55</f>
        <v>Обеспечение проведения выборов и референдумов</v>
      </c>
      <c r="B50" s="80" t="str">
        <f>'Приложение 3'!C55</f>
        <v>0107</v>
      </c>
      <c r="C50" s="80"/>
      <c r="D50" s="80"/>
      <c r="E50" s="80"/>
      <c r="F50" s="65">
        <f>'Приложение 3'!G55</f>
        <v>0</v>
      </c>
      <c r="G50" s="65">
        <f>'Приложение 3'!H55</f>
        <v>0</v>
      </c>
      <c r="H50" s="65" t="e">
        <f t="shared" si="0"/>
        <v>#DIV/0!</v>
      </c>
    </row>
    <row r="51" spans="1:8" ht="0.75" customHeight="1" hidden="1" outlineLevel="2" collapsed="1">
      <c r="A51" s="48" t="str">
        <f>'Приложение 3'!A56</f>
        <v>Проведение выборов и референдумов</v>
      </c>
      <c r="B51" s="80" t="str">
        <f>'Приложение 3'!C56</f>
        <v>0107</v>
      </c>
      <c r="C51" s="80" t="str">
        <f>'Приложение 3'!D56</f>
        <v>99</v>
      </c>
      <c r="D51" s="80" t="str">
        <f>'Приложение 3'!E56</f>
        <v>0</v>
      </c>
      <c r="E51" s="80"/>
      <c r="F51" s="65">
        <f>'Приложение 3'!G56</f>
        <v>0</v>
      </c>
      <c r="G51" s="65">
        <f>'Приложение 3'!H56</f>
        <v>0</v>
      </c>
      <c r="H51" s="65" t="e">
        <f t="shared" si="0"/>
        <v>#DIV/0!</v>
      </c>
    </row>
    <row r="52" spans="1:8" ht="30" customHeight="1" hidden="1" outlineLevel="5">
      <c r="A52" s="48" t="str">
        <f>'Приложение 3'!A57</f>
        <v>Непрограммные расходы органов местного самоуправления Алексеевского муниципального района</v>
      </c>
      <c r="B52" s="80" t="str">
        <f>'Приложение 3'!C57</f>
        <v>0107</v>
      </c>
      <c r="C52" s="80" t="str">
        <f>'Приложение 3'!D57</f>
        <v>99</v>
      </c>
      <c r="D52" s="80" t="str">
        <f>'Приложение 3'!E57</f>
        <v>0</v>
      </c>
      <c r="E52" s="80"/>
      <c r="F52" s="65">
        <f>'Приложение 3'!G57</f>
        <v>0</v>
      </c>
      <c r="G52" s="65">
        <f>'Приложение 3'!H57</f>
        <v>0</v>
      </c>
      <c r="H52" s="65" t="e">
        <f t="shared" si="0"/>
        <v>#DIV/0!</v>
      </c>
    </row>
    <row r="53" spans="1:8" ht="24" hidden="1" outlineLevel="5">
      <c r="A53" s="48" t="str">
        <f>'Приложение 3'!A58</f>
        <v>Закупка товаров, работ и услуг для государственных (муниципальных) нужд</v>
      </c>
      <c r="B53" s="80" t="str">
        <f>'Приложение 3'!C58</f>
        <v>0107</v>
      </c>
      <c r="C53" s="80" t="str">
        <f>'Приложение 3'!D58</f>
        <v>99</v>
      </c>
      <c r="D53" s="80">
        <f>'Приложение 3'!E58</f>
        <v>0</v>
      </c>
      <c r="E53" s="80">
        <f>'Приложение 3'!F58</f>
        <v>200</v>
      </c>
      <c r="F53" s="65">
        <f>'Приложение 3'!G58</f>
        <v>0</v>
      </c>
      <c r="G53" s="65">
        <f>'Приложение 3'!H58</f>
        <v>0</v>
      </c>
      <c r="H53" s="65" t="e">
        <f t="shared" si="0"/>
        <v>#DIV/0!</v>
      </c>
    </row>
    <row r="54" spans="1:8" ht="12.75" outlineLevel="5">
      <c r="A54" s="48" t="str">
        <f>'Приложение 3'!A59</f>
        <v>Резервные фонды</v>
      </c>
      <c r="B54" s="80" t="str">
        <f>'Приложение 3'!C59</f>
        <v>0111</v>
      </c>
      <c r="C54" s="80"/>
      <c r="D54" s="80"/>
      <c r="E54" s="80"/>
      <c r="F54" s="65">
        <f>'Приложение 3'!G59</f>
        <v>320</v>
      </c>
      <c r="G54" s="65">
        <f>'Приложение 3'!H59</f>
        <v>0</v>
      </c>
      <c r="H54" s="65">
        <f t="shared" si="0"/>
        <v>0</v>
      </c>
    </row>
    <row r="55" spans="1:8" ht="28.5" customHeight="1" outlineLevel="1">
      <c r="A55" s="48" t="str">
        <f>'Приложение 3'!A60</f>
        <v>Непрограммные расходы органов местного самоуправления Алексеевского муниципального района</v>
      </c>
      <c r="B55" s="80" t="str">
        <f>'Приложение 3'!C60</f>
        <v>0111</v>
      </c>
      <c r="C55" s="80" t="str">
        <f>'Приложение 3'!D60</f>
        <v>99</v>
      </c>
      <c r="D55" s="80" t="str">
        <f>'Приложение 3'!E60</f>
        <v>0</v>
      </c>
      <c r="E55" s="80"/>
      <c r="F55" s="65">
        <f>'Приложение 3'!G60</f>
        <v>320</v>
      </c>
      <c r="G55" s="65">
        <f>'Приложение 3'!H60</f>
        <v>0</v>
      </c>
      <c r="H55" s="65">
        <f t="shared" si="0"/>
        <v>0</v>
      </c>
    </row>
    <row r="56" spans="1:8" ht="17.25" customHeight="1" outlineLevel="2">
      <c r="A56" s="48" t="str">
        <f>'Приложение 3'!A61</f>
        <v>Иные бюджетные ассигнования</v>
      </c>
      <c r="B56" s="80" t="str">
        <f>'Приложение 3'!C61</f>
        <v>0111</v>
      </c>
      <c r="C56" s="80" t="str">
        <f>'Приложение 3'!D61</f>
        <v>99</v>
      </c>
      <c r="D56" s="80" t="str">
        <f>'Приложение 3'!E61</f>
        <v>0</v>
      </c>
      <c r="E56" s="80">
        <f>'Приложение 3'!F61</f>
        <v>800</v>
      </c>
      <c r="F56" s="65">
        <f>'Приложение 3'!G61</f>
        <v>320</v>
      </c>
      <c r="G56" s="65">
        <f>'Приложение 3'!H61</f>
        <v>0</v>
      </c>
      <c r="H56" s="65">
        <f t="shared" si="0"/>
        <v>0</v>
      </c>
    </row>
    <row r="57" spans="1:8" ht="15" customHeight="1" outlineLevel="2">
      <c r="A57" s="48" t="str">
        <f>'Приложение 3'!A62</f>
        <v>Другие общегосударственные вопросы</v>
      </c>
      <c r="B57" s="80" t="str">
        <f>'Приложение 3'!C62</f>
        <v>0113</v>
      </c>
      <c r="C57" s="80"/>
      <c r="D57" s="80"/>
      <c r="E57" s="80"/>
      <c r="F57" s="65">
        <f>'Приложение 3'!G62</f>
        <v>29154.32879</v>
      </c>
      <c r="G57" s="65">
        <f>'Приложение 3'!H62</f>
        <v>8962.869719999999</v>
      </c>
      <c r="H57" s="65">
        <f t="shared" si="0"/>
        <v>30.742843659889996</v>
      </c>
    </row>
    <row r="58" spans="1:8" ht="36" outlineLevel="2">
      <c r="A58" s="48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80" t="str">
        <f>'Приложение 3'!C63</f>
        <v>0113</v>
      </c>
      <c r="C58" s="80" t="str">
        <f>'Приложение 3'!D63</f>
        <v>02</v>
      </c>
      <c r="D58" s="80">
        <f>'Приложение 3'!E63</f>
        <v>0</v>
      </c>
      <c r="E58" s="80"/>
      <c r="F58" s="65">
        <f>'Приложение 3'!G63</f>
        <v>150</v>
      </c>
      <c r="G58" s="65">
        <f>'Приложение 3'!H63</f>
        <v>0</v>
      </c>
      <c r="H58" s="65">
        <f t="shared" si="0"/>
        <v>0</v>
      </c>
    </row>
    <row r="59" spans="1:8" ht="36" hidden="1" outlineLevel="2">
      <c r="A59" s="48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0" t="str">
        <f>'Приложение 3'!C64</f>
        <v>0113</v>
      </c>
      <c r="C59" s="80" t="str">
        <f>'Приложение 3'!D64</f>
        <v>02</v>
      </c>
      <c r="D59" s="80">
        <f>'Приложение 3'!E64</f>
        <v>3</v>
      </c>
      <c r="E59" s="80"/>
      <c r="F59" s="65">
        <f>'Приложение 3'!G64</f>
        <v>0</v>
      </c>
      <c r="G59" s="65">
        <f>'Приложение 3'!H64</f>
        <v>0</v>
      </c>
      <c r="H59" s="65" t="e">
        <f t="shared" si="0"/>
        <v>#DIV/0!</v>
      </c>
    </row>
    <row r="60" spans="1:8" ht="24" hidden="1" outlineLevel="2">
      <c r="A60" s="48" t="str">
        <f>'Приложение 3'!A65</f>
        <v>Предоставление субсидий бюджетным, автономным учреждениям и иным некоммерческим организациям</v>
      </c>
      <c r="B60" s="80" t="str">
        <f>'Приложение 3'!C65</f>
        <v>0113</v>
      </c>
      <c r="C60" s="80" t="str">
        <f>'Приложение 3'!D65</f>
        <v>02</v>
      </c>
      <c r="D60" s="80">
        <f>'Приложение 3'!E65</f>
        <v>3</v>
      </c>
      <c r="E60" s="80" t="s">
        <v>179</v>
      </c>
      <c r="F60" s="65">
        <f>'Приложение 3'!G65</f>
        <v>0</v>
      </c>
      <c r="G60" s="65">
        <f>'Приложение 3'!H65</f>
        <v>0</v>
      </c>
      <c r="H60" s="65" t="e">
        <f t="shared" si="0"/>
        <v>#DIV/0!</v>
      </c>
    </row>
    <row r="61" spans="1:8" ht="40.5" customHeight="1" outlineLevel="2">
      <c r="A61" s="48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80" t="str">
        <f>'Приложение 3'!C66</f>
        <v>0113</v>
      </c>
      <c r="C61" s="80" t="str">
        <f>'Приложение 3'!D66</f>
        <v>02</v>
      </c>
      <c r="D61" s="80">
        <f>'Приложение 3'!E66</f>
        <v>4</v>
      </c>
      <c r="E61" s="80"/>
      <c r="F61" s="65">
        <f>'Приложение 3'!G66</f>
        <v>150</v>
      </c>
      <c r="G61" s="65">
        <f>'Приложение 3'!H66</f>
        <v>0</v>
      </c>
      <c r="H61" s="65">
        <f t="shared" si="0"/>
        <v>0</v>
      </c>
    </row>
    <row r="62" spans="1:8" ht="27" customHeight="1" outlineLevel="2">
      <c r="A62" s="48" t="str">
        <f>'Приложение 3'!A67</f>
        <v>Предоставление субсидий бюджетным, автономным учреждениям и иным некоммерческим организациям</v>
      </c>
      <c r="B62" s="80" t="str">
        <f>'Приложение 3'!C67</f>
        <v>0113</v>
      </c>
      <c r="C62" s="80" t="str">
        <f>'Приложение 3'!D67</f>
        <v>02</v>
      </c>
      <c r="D62" s="80">
        <f>'Приложение 3'!E67</f>
        <v>4</v>
      </c>
      <c r="E62" s="80">
        <f>'Приложение 3'!F67</f>
        <v>600</v>
      </c>
      <c r="F62" s="65">
        <f>'Приложение 3'!G67</f>
        <v>150</v>
      </c>
      <c r="G62" s="65">
        <f>'Приложение 3'!H67</f>
        <v>0</v>
      </c>
      <c r="H62" s="65">
        <f t="shared" si="0"/>
        <v>0</v>
      </c>
    </row>
    <row r="63" spans="1:8" ht="24" outlineLevel="2">
      <c r="A63" s="48" t="str">
        <f>'Приложение 3'!A68</f>
        <v>Муниципальная программа "Маршрут Победы на 2019-2023 годы"</v>
      </c>
      <c r="B63" s="80" t="str">
        <f>'Приложение 3'!C68</f>
        <v>0113</v>
      </c>
      <c r="C63" s="80" t="str">
        <f>'Приложение 3'!D68</f>
        <v>15</v>
      </c>
      <c r="D63" s="80">
        <f>'Приложение 3'!E68</f>
        <v>0</v>
      </c>
      <c r="E63" s="80"/>
      <c r="F63" s="65">
        <f>'Приложение 3'!G68</f>
        <v>100</v>
      </c>
      <c r="G63" s="65">
        <f>'Приложение 3'!H68</f>
        <v>35.8</v>
      </c>
      <c r="H63" s="65">
        <f t="shared" si="0"/>
        <v>35.8</v>
      </c>
    </row>
    <row r="64" spans="1:8" ht="24" outlineLevel="2">
      <c r="A64" s="48" t="str">
        <f>'Приложение 3'!A69</f>
        <v>Закупка товаров, работ и услуг для государственных (муниципальных) нужд</v>
      </c>
      <c r="B64" s="80" t="str">
        <f>'Приложение 3'!C69</f>
        <v>0113</v>
      </c>
      <c r="C64" s="80" t="str">
        <f>'Приложение 3'!D69</f>
        <v>15</v>
      </c>
      <c r="D64" s="80">
        <f>'Приложение 3'!E69</f>
        <v>0</v>
      </c>
      <c r="E64" s="80">
        <f>'Приложение 3'!F69</f>
        <v>200</v>
      </c>
      <c r="F64" s="65">
        <f>'Приложение 3'!G69</f>
        <v>100</v>
      </c>
      <c r="G64" s="65">
        <f>'Приложение 3'!H69</f>
        <v>35.8</v>
      </c>
      <c r="H64" s="65">
        <f t="shared" si="0"/>
        <v>35.8</v>
      </c>
    </row>
    <row r="65" spans="1:8" ht="36" outlineLevel="2">
      <c r="A65" s="48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0" t="str">
        <f>'Приложение 3'!C70</f>
        <v>0113</v>
      </c>
      <c r="C65" s="80" t="str">
        <f>'Приложение 3'!D70</f>
        <v>20</v>
      </c>
      <c r="D65" s="80">
        <f>'Приложение 3'!E70</f>
        <v>0</v>
      </c>
      <c r="E65" s="80"/>
      <c r="F65" s="65">
        <f>'Приложение 3'!G70</f>
        <v>50</v>
      </c>
      <c r="G65" s="65">
        <f>'Приложение 3'!H70</f>
        <v>0</v>
      </c>
      <c r="H65" s="65">
        <f t="shared" si="0"/>
        <v>0</v>
      </c>
    </row>
    <row r="66" spans="1:8" ht="15" customHeight="1" outlineLevel="2">
      <c r="A66" s="48" t="str">
        <f>'Приложение 3'!A71</f>
        <v>Подпрограмма "Профилактика правонарушений"</v>
      </c>
      <c r="B66" s="80" t="str">
        <f>'Приложение 3'!C71</f>
        <v>0113</v>
      </c>
      <c r="C66" s="80" t="str">
        <f>'Приложение 3'!D71</f>
        <v>20</v>
      </c>
      <c r="D66" s="80">
        <f>'Приложение 3'!E71</f>
        <v>1</v>
      </c>
      <c r="E66" s="80"/>
      <c r="F66" s="65">
        <f>'Приложение 3'!G71</f>
        <v>35</v>
      </c>
      <c r="G66" s="65">
        <f>'Приложение 3'!H71</f>
        <v>0</v>
      </c>
      <c r="H66" s="65">
        <f t="shared" si="0"/>
        <v>0</v>
      </c>
    </row>
    <row r="67" spans="1:8" ht="24" outlineLevel="2">
      <c r="A67" s="48" t="str">
        <f>'Приложение 3'!A72</f>
        <v>Закупка товаров, работ и услуг для государственных (муниципальных) нужд</v>
      </c>
      <c r="B67" s="80" t="str">
        <f>'Приложение 3'!C72</f>
        <v>0113</v>
      </c>
      <c r="C67" s="80" t="str">
        <f>'Приложение 3'!D72</f>
        <v>20</v>
      </c>
      <c r="D67" s="80">
        <f>'Приложение 3'!E72</f>
        <v>1</v>
      </c>
      <c r="E67" s="80">
        <f>'Приложение 3'!F72</f>
        <v>200</v>
      </c>
      <c r="F67" s="65">
        <f>'Приложение 3'!G72</f>
        <v>35</v>
      </c>
      <c r="G67" s="65">
        <f>'Приложение 3'!H72</f>
        <v>0</v>
      </c>
      <c r="H67" s="65">
        <f t="shared" si="0"/>
        <v>0</v>
      </c>
    </row>
    <row r="68" spans="1:8" ht="24" outlineLevel="2">
      <c r="A68" s="48" t="str">
        <f>'Приложение 3'!A73</f>
        <v>Подпрограмма "Формирование законопослушного поведения участников дорожного движения"</v>
      </c>
      <c r="B68" s="80" t="str">
        <f>'Приложение 3'!C73</f>
        <v>0113</v>
      </c>
      <c r="C68" s="80" t="str">
        <f>'Приложение 3'!D73</f>
        <v>20</v>
      </c>
      <c r="D68" s="80">
        <f>'Приложение 3'!E73</f>
        <v>2</v>
      </c>
      <c r="E68" s="80"/>
      <c r="F68" s="65">
        <f>'Приложение 3'!G73</f>
        <v>15</v>
      </c>
      <c r="G68" s="65">
        <f>'Приложение 3'!H73</f>
        <v>0</v>
      </c>
      <c r="H68" s="65">
        <f t="shared" si="0"/>
        <v>0</v>
      </c>
    </row>
    <row r="69" spans="1:8" ht="24" outlineLevel="2">
      <c r="A69" s="48" t="str">
        <f>'Приложение 3'!A74</f>
        <v>Закупка товаров, работ и услуг для государственных (муниципальных) нужд</v>
      </c>
      <c r="B69" s="80" t="str">
        <f>'Приложение 3'!C74</f>
        <v>0113</v>
      </c>
      <c r="C69" s="80" t="str">
        <f>'Приложение 3'!D74</f>
        <v>20</v>
      </c>
      <c r="D69" s="80">
        <f>'Приложение 3'!E74</f>
        <v>2</v>
      </c>
      <c r="E69" s="80">
        <f>'Приложение 3'!F74</f>
        <v>200</v>
      </c>
      <c r="F69" s="65">
        <f>'Приложение 3'!G74</f>
        <v>15</v>
      </c>
      <c r="G69" s="65">
        <f>'Приложение 3'!H74</f>
        <v>0</v>
      </c>
      <c r="H69" s="65">
        <f t="shared" si="0"/>
        <v>0</v>
      </c>
    </row>
    <row r="70" spans="1:8" ht="36" hidden="1" outlineLevel="2">
      <c r="A70" s="48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80" t="str">
        <f>'Приложение 3'!C75</f>
        <v>0113</v>
      </c>
      <c r="C70" s="80" t="str">
        <f>'Приложение 3'!D75</f>
        <v>21</v>
      </c>
      <c r="D70" s="80">
        <f>'Приложение 3'!E75</f>
        <v>0</v>
      </c>
      <c r="E70" s="80"/>
      <c r="F70" s="65">
        <f>'Приложение 3'!G75</f>
        <v>0</v>
      </c>
      <c r="G70" s="65">
        <f>'Приложение 3'!H75</f>
        <v>0</v>
      </c>
      <c r="H70" s="65" t="e">
        <f t="shared" si="0"/>
        <v>#DIV/0!</v>
      </c>
    </row>
    <row r="71" spans="1:8" ht="24" hidden="1" outlineLevel="2">
      <c r="A71" s="48" t="str">
        <f>'Приложение 3'!A76</f>
        <v>Закупка товаров, работ и услуг для государственных (муниципальных) нужд</v>
      </c>
      <c r="B71" s="80" t="str">
        <f>'Приложение 3'!C76</f>
        <v>0113</v>
      </c>
      <c r="C71" s="80" t="str">
        <f>'Приложение 3'!D76</f>
        <v>21</v>
      </c>
      <c r="D71" s="80">
        <f>'Приложение 3'!E76</f>
        <v>0</v>
      </c>
      <c r="E71" s="80">
        <f>'Приложение 3'!F76</f>
        <v>200</v>
      </c>
      <c r="F71" s="65">
        <f>'Приложение 3'!G76</f>
        <v>0</v>
      </c>
      <c r="G71" s="65">
        <f>'Приложение 3'!H76</f>
        <v>0</v>
      </c>
      <c r="H71" s="65" t="e">
        <f t="shared" si="0"/>
        <v>#DIV/0!</v>
      </c>
    </row>
    <row r="72" spans="1:8" ht="36" outlineLevel="2">
      <c r="A72" s="48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0" t="str">
        <f>'Приложение 3'!C77</f>
        <v>0113</v>
      </c>
      <c r="C72" s="80" t="str">
        <f>'Приложение 3'!D77</f>
        <v>23</v>
      </c>
      <c r="D72" s="80">
        <f>'Приложение 3'!E77</f>
        <v>0</v>
      </c>
      <c r="E72" s="80"/>
      <c r="F72" s="65">
        <f>'Приложение 3'!G77</f>
        <v>50</v>
      </c>
      <c r="G72" s="65">
        <f>'Приложение 3'!H77</f>
        <v>0</v>
      </c>
      <c r="H72" s="65">
        <f t="shared" si="0"/>
        <v>0</v>
      </c>
    </row>
    <row r="73" spans="1:8" ht="24" outlineLevel="2">
      <c r="A73" s="48" t="str">
        <f>'Приложение 3'!A78</f>
        <v>Закупка товаров, работ и услуг для государственных (муниципальных) нужд</v>
      </c>
      <c r="B73" s="80" t="str">
        <f>'Приложение 3'!C78</f>
        <v>0113</v>
      </c>
      <c r="C73" s="80" t="str">
        <f>'Приложение 3'!D78</f>
        <v>23</v>
      </c>
      <c r="D73" s="80">
        <f>'Приложение 3'!E78</f>
        <v>0</v>
      </c>
      <c r="E73" s="80">
        <f>'Приложение 3'!F78</f>
        <v>200</v>
      </c>
      <c r="F73" s="65">
        <f>'Приложение 3'!G78</f>
        <v>50</v>
      </c>
      <c r="G73" s="65">
        <f>'Приложение 3'!H78</f>
        <v>0</v>
      </c>
      <c r="H73" s="65">
        <f t="shared" si="0"/>
        <v>0</v>
      </c>
    </row>
    <row r="74" spans="1:8" ht="60" outlineLevel="2">
      <c r="A74" s="48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80" t="str">
        <f>'Приложение 3'!C79</f>
        <v>0113</v>
      </c>
      <c r="C74" s="80" t="str">
        <f>'Приложение 3'!D79</f>
        <v>51</v>
      </c>
      <c r="D74" s="80">
        <f>'Приложение 3'!E79</f>
        <v>0</v>
      </c>
      <c r="E74" s="80"/>
      <c r="F74" s="65">
        <f>'Приложение 3'!G79</f>
        <v>25020</v>
      </c>
      <c r="G74" s="65">
        <f>'Приложение 3'!H79</f>
        <v>8413.00272</v>
      </c>
      <c r="H74" s="65">
        <f aca="true" t="shared" si="1" ref="H74:H137">SUM(G74/F74)*100</f>
        <v>33.62511079136691</v>
      </c>
    </row>
    <row r="75" spans="1:8" ht="24" outlineLevel="2">
      <c r="A75" s="48" t="str">
        <f>'Приложение 3'!A80</f>
        <v>Предоставление субсидий бюджетным, автономным учреждениям и иным некоммерческим организациям</v>
      </c>
      <c r="B75" s="80" t="str">
        <f>'Приложение 3'!C80</f>
        <v>0113</v>
      </c>
      <c r="C75" s="80" t="str">
        <f>'Приложение 3'!D80</f>
        <v>51</v>
      </c>
      <c r="D75" s="80">
        <f>'Приложение 3'!E80</f>
        <v>0</v>
      </c>
      <c r="E75" s="80">
        <f>'Приложение 3'!F80</f>
        <v>600</v>
      </c>
      <c r="F75" s="65">
        <f>'Приложение 3'!G80</f>
        <v>24000</v>
      </c>
      <c r="G75" s="65">
        <f>'Приложение 3'!H80</f>
        <v>8172.83859</v>
      </c>
      <c r="H75" s="65">
        <f t="shared" si="1"/>
        <v>34.053494125</v>
      </c>
    </row>
    <row r="76" spans="1:8" ht="51.75" customHeight="1" outlineLevel="2">
      <c r="A76" s="48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0" t="str">
        <f>'Приложение 3'!C81</f>
        <v>0113</v>
      </c>
      <c r="C76" s="80" t="str">
        <f>'Приложение 3'!D81</f>
        <v>51</v>
      </c>
      <c r="D76" s="80">
        <f>'Приложение 3'!E81</f>
        <v>0</v>
      </c>
      <c r="E76" s="80">
        <f>'Приложение 3'!F81</f>
        <v>600</v>
      </c>
      <c r="F76" s="65">
        <f>'Приложение 3'!G81</f>
        <v>1020</v>
      </c>
      <c r="G76" s="65">
        <f>'Приложение 3'!H81</f>
        <v>240.16413</v>
      </c>
      <c r="H76" s="65">
        <f t="shared" si="1"/>
        <v>23.545502941176473</v>
      </c>
    </row>
    <row r="77" spans="1:8" ht="12.75" outlineLevel="2">
      <c r="A77" s="48" t="str">
        <f>'Приложение 3'!A82</f>
        <v>Государственная регистрация актов гражданского состояния</v>
      </c>
      <c r="B77" s="80" t="str">
        <f>'Приложение 3'!C82</f>
        <v>0113</v>
      </c>
      <c r="C77" s="80">
        <f>'Приложение 3'!D82</f>
        <v>0</v>
      </c>
      <c r="D77" s="80">
        <f>'Приложение 3'!E82</f>
        <v>0</v>
      </c>
      <c r="E77" s="80"/>
      <c r="F77" s="65">
        <f>'Приложение 3'!G82</f>
        <v>1139.5</v>
      </c>
      <c r="G77" s="65">
        <f>'Приложение 3'!H82</f>
        <v>299.9</v>
      </c>
      <c r="H77" s="65">
        <f t="shared" si="1"/>
        <v>26.318560772268533</v>
      </c>
    </row>
    <row r="78" spans="1:8" ht="36" outlineLevel="2">
      <c r="A78" s="48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0" t="str">
        <f>'Приложение 3'!C83</f>
        <v>0113</v>
      </c>
      <c r="C78" s="80" t="str">
        <f>'Приложение 3'!D83</f>
        <v>90</v>
      </c>
      <c r="D78" s="80">
        <f>'Приложение 3'!E83</f>
        <v>0</v>
      </c>
      <c r="E78" s="80"/>
      <c r="F78" s="65">
        <f>'Приложение 3'!G83</f>
        <v>1139.5</v>
      </c>
      <c r="G78" s="65">
        <f>'Приложение 3'!H83</f>
        <v>299.9</v>
      </c>
      <c r="H78" s="65">
        <f t="shared" si="1"/>
        <v>26.318560772268533</v>
      </c>
    </row>
    <row r="79" spans="1:8" ht="48" outlineLevel="2">
      <c r="A79" s="48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0" t="str">
        <f>'Приложение 3'!C84</f>
        <v>0113</v>
      </c>
      <c r="C79" s="80" t="str">
        <f>'Приложение 3'!D84</f>
        <v>90</v>
      </c>
      <c r="D79" s="80" t="str">
        <f>'Приложение 3'!E84</f>
        <v>0</v>
      </c>
      <c r="E79" s="80">
        <f>'Приложение 3'!F84</f>
        <v>100</v>
      </c>
      <c r="F79" s="65">
        <f>'Приложение 3'!G84</f>
        <v>990.2</v>
      </c>
      <c r="G79" s="65">
        <f>'Приложение 3'!H84</f>
        <v>276.0052</v>
      </c>
      <c r="H79" s="65">
        <f t="shared" si="1"/>
        <v>27.873682084427386</v>
      </c>
    </row>
    <row r="80" spans="1:8" ht="24" outlineLevel="2">
      <c r="A80" s="48" t="str">
        <f>'Приложение 3'!A85</f>
        <v>Закупка товаров, работ и услуг для государственных (муниципальных) нужд</v>
      </c>
      <c r="B80" s="80" t="str">
        <f>'Приложение 3'!C85</f>
        <v>0113</v>
      </c>
      <c r="C80" s="80" t="str">
        <f>'Приложение 3'!D85</f>
        <v>90</v>
      </c>
      <c r="D80" s="80" t="str">
        <f>'Приложение 3'!E85</f>
        <v>0</v>
      </c>
      <c r="E80" s="80">
        <f>'Приложение 3'!F85</f>
        <v>200</v>
      </c>
      <c r="F80" s="65">
        <f>'Приложение 3'!G85</f>
        <v>149.29999999999998</v>
      </c>
      <c r="G80" s="65">
        <f>'Приложение 3'!H85</f>
        <v>23.8948</v>
      </c>
      <c r="H80" s="65">
        <f t="shared" si="1"/>
        <v>16.0045545880777</v>
      </c>
    </row>
    <row r="81" spans="1:8" ht="26.25" customHeight="1" outlineLevel="2">
      <c r="A81" s="48" t="str">
        <f>'Приложение 3'!A86</f>
        <v>Оценка недвижимости, признание прав и регулирование отношений по муниципальной собственности</v>
      </c>
      <c r="B81" s="80" t="str">
        <f>'Приложение 3'!C86</f>
        <v>0113</v>
      </c>
      <c r="C81" s="80" t="str">
        <f>'Приложение 3'!D86</f>
        <v>99</v>
      </c>
      <c r="D81" s="80">
        <f>'Приложение 3'!E86</f>
        <v>0</v>
      </c>
      <c r="E81" s="80"/>
      <c r="F81" s="65">
        <f>'Приложение 3'!G86</f>
        <v>100</v>
      </c>
      <c r="G81" s="65">
        <f>'Приложение 3'!H86</f>
        <v>0</v>
      </c>
      <c r="H81" s="65">
        <f t="shared" si="1"/>
        <v>0</v>
      </c>
    </row>
    <row r="82" spans="1:8" ht="24.75" customHeight="1" outlineLevel="2">
      <c r="A82" s="48" t="str">
        <f>'Приложение 3'!A87</f>
        <v>Непрограммные расходы органов местного самоуправления Алексеевского муниципального района</v>
      </c>
      <c r="B82" s="80" t="str">
        <f>'Приложение 3'!C87</f>
        <v>0113</v>
      </c>
      <c r="C82" s="80" t="str">
        <f>'Приложение 3'!D87</f>
        <v>99</v>
      </c>
      <c r="D82" s="80" t="str">
        <f>'Приложение 3'!E87</f>
        <v>0</v>
      </c>
      <c r="E82" s="80"/>
      <c r="F82" s="65">
        <f>'Приложение 3'!G87</f>
        <v>100</v>
      </c>
      <c r="G82" s="65">
        <f>'Приложение 3'!H87</f>
        <v>0</v>
      </c>
      <c r="H82" s="65">
        <f t="shared" si="1"/>
        <v>0</v>
      </c>
    </row>
    <row r="83" spans="1:8" ht="24.75" customHeight="1" outlineLevel="2">
      <c r="A83" s="48" t="str">
        <f>'Приложение 3'!A88</f>
        <v>Закупка товаров, работ и услуг для государственных (муниципальных) нужд</v>
      </c>
      <c r="B83" s="80" t="str">
        <f>'Приложение 3'!C88</f>
        <v>0113</v>
      </c>
      <c r="C83" s="80" t="str">
        <f>'Приложение 3'!D88</f>
        <v>99</v>
      </c>
      <c r="D83" s="80" t="str">
        <f>'Приложение 3'!E88</f>
        <v>0</v>
      </c>
      <c r="E83" s="80">
        <f>'Приложение 3'!F88</f>
        <v>200</v>
      </c>
      <c r="F83" s="65">
        <f>'Приложение 3'!G88</f>
        <v>100</v>
      </c>
      <c r="G83" s="65">
        <f>'Приложение 3'!H88</f>
        <v>0</v>
      </c>
      <c r="H83" s="65">
        <f t="shared" si="1"/>
        <v>0</v>
      </c>
    </row>
    <row r="84" spans="1:8" ht="24" outlineLevel="5">
      <c r="A84" s="48" t="str">
        <f>'Приложение 3'!A89</f>
        <v>Реализация государственных функций, связанных с общегосударственным управлением</v>
      </c>
      <c r="B84" s="80" t="str">
        <f>'Приложение 3'!C89</f>
        <v>0113</v>
      </c>
      <c r="C84" s="80" t="str">
        <f>'Приложение 3'!D89</f>
        <v>99</v>
      </c>
      <c r="D84" s="80">
        <f>'Приложение 3'!E89</f>
        <v>0</v>
      </c>
      <c r="E84" s="80"/>
      <c r="F84" s="65">
        <f>'Приложение 3'!G89</f>
        <v>2281.22879</v>
      </c>
      <c r="G84" s="65">
        <f>'Приложение 3'!H89</f>
        <v>214.16699999999997</v>
      </c>
      <c r="H84" s="65">
        <f t="shared" si="1"/>
        <v>9.388229753141067</v>
      </c>
    </row>
    <row r="85" spans="1:8" ht="25.5" customHeight="1" outlineLevel="5">
      <c r="A85" s="48" t="str">
        <f>'Приложение 3'!A90</f>
        <v>Непрограммные расходы органов местного самоуправления Алексеевского муниципального района</v>
      </c>
      <c r="B85" s="80" t="str">
        <f>'Приложение 3'!C90</f>
        <v>0113</v>
      </c>
      <c r="C85" s="80" t="str">
        <f>'Приложение 3'!D90</f>
        <v>99</v>
      </c>
      <c r="D85" s="80" t="str">
        <f>'Приложение 3'!E90</f>
        <v>0</v>
      </c>
      <c r="E85" s="80"/>
      <c r="F85" s="65">
        <f>'Приложение 3'!G90</f>
        <v>2281.22879</v>
      </c>
      <c r="G85" s="65">
        <f>'Приложение 3'!H90</f>
        <v>214.16699999999997</v>
      </c>
      <c r="H85" s="65">
        <f t="shared" si="1"/>
        <v>9.388229753141067</v>
      </c>
    </row>
    <row r="86" spans="1:8" ht="24" outlineLevel="5">
      <c r="A86" s="48" t="str">
        <f>'Приложение 3'!A91</f>
        <v>Закупка товаров, работ и услуг для государственных (муниципальных) нужд</v>
      </c>
      <c r="B86" s="80" t="str">
        <f>'Приложение 3'!C91</f>
        <v>0113</v>
      </c>
      <c r="C86" s="80" t="str">
        <f>'Приложение 3'!D91</f>
        <v>99</v>
      </c>
      <c r="D86" s="80">
        <f>'Приложение 3'!E91</f>
        <v>0</v>
      </c>
      <c r="E86" s="80">
        <f>'Приложение 3'!F91</f>
        <v>200</v>
      </c>
      <c r="F86" s="65">
        <f>'Приложение 3'!G91</f>
        <v>850.22879</v>
      </c>
      <c r="G86" s="65">
        <f>'Приложение 3'!H91</f>
        <v>94.35</v>
      </c>
      <c r="H86" s="65">
        <f t="shared" si="1"/>
        <v>11.097013075739296</v>
      </c>
    </row>
    <row r="87" spans="1:8" ht="12.75" outlineLevel="5">
      <c r="A87" s="48" t="str">
        <f>'Приложение 3'!A92</f>
        <v>Иные бюджетные ассигнования</v>
      </c>
      <c r="B87" s="80" t="str">
        <f>'Приложение 3'!C92</f>
        <v>0113</v>
      </c>
      <c r="C87" s="80" t="str">
        <f>'Приложение 3'!D92</f>
        <v>99</v>
      </c>
      <c r="D87" s="80">
        <f>'Приложение 3'!E92</f>
        <v>0</v>
      </c>
      <c r="E87" s="80">
        <f>'Приложение 3'!F92</f>
        <v>800</v>
      </c>
      <c r="F87" s="65">
        <f>'Приложение 3'!G92</f>
        <v>1431</v>
      </c>
      <c r="G87" s="65">
        <f>'Приложение 3'!H92</f>
        <v>119.817</v>
      </c>
      <c r="H87" s="65">
        <f t="shared" si="1"/>
        <v>8.372955974842766</v>
      </c>
    </row>
    <row r="88" spans="1:8" ht="24" outlineLevel="5">
      <c r="A88" s="48" t="str">
        <f>'Приложение 3'!A93</f>
        <v>Осуществление полномочий по подготовке и проведению переписи в 2021 году</v>
      </c>
      <c r="B88" s="80" t="str">
        <f>'Приложение 3'!C93</f>
        <v>0113</v>
      </c>
      <c r="C88" s="80" t="str">
        <f>'Приложение 3'!D93</f>
        <v>99</v>
      </c>
      <c r="D88" s="80">
        <f>'Приложение 3'!E93</f>
        <v>0</v>
      </c>
      <c r="E88" s="80"/>
      <c r="F88" s="65">
        <f>'Приложение 3'!G93</f>
        <v>263.6</v>
      </c>
      <c r="G88" s="65">
        <f>'Приложение 3'!H93</f>
        <v>0</v>
      </c>
      <c r="H88" s="65">
        <f t="shared" si="1"/>
        <v>0</v>
      </c>
    </row>
    <row r="89" spans="1:8" ht="24" outlineLevel="5">
      <c r="A89" s="48" t="str">
        <f>'Приложение 3'!A94</f>
        <v>Непрограммные расходы органов местного самоуправления Алексеевского муниципального района</v>
      </c>
      <c r="B89" s="80" t="str">
        <f>'Приложение 3'!C94</f>
        <v>0113</v>
      </c>
      <c r="C89" s="80" t="str">
        <f>'Приложение 3'!D94</f>
        <v>99</v>
      </c>
      <c r="D89" s="80" t="str">
        <f>'Приложение 3'!E94</f>
        <v>0</v>
      </c>
      <c r="E89" s="80"/>
      <c r="F89" s="65">
        <f>'Приложение 3'!G94</f>
        <v>263.6</v>
      </c>
      <c r="G89" s="65">
        <f>'Приложение 3'!H94</f>
        <v>0</v>
      </c>
      <c r="H89" s="65">
        <f t="shared" si="1"/>
        <v>0</v>
      </c>
    </row>
    <row r="90" spans="1:8" ht="24" outlineLevel="5">
      <c r="A90" s="48" t="str">
        <f>'Приложение 3'!A95</f>
        <v>Закупка товаров, работ и услуг для государственных (муниципальных) нужд</v>
      </c>
      <c r="B90" s="80" t="str">
        <f>'Приложение 3'!C95</f>
        <v>0113</v>
      </c>
      <c r="C90" s="80" t="str">
        <f>'Приложение 3'!D95</f>
        <v>99</v>
      </c>
      <c r="D90" s="80">
        <f>'Приложение 3'!E95</f>
        <v>0</v>
      </c>
      <c r="E90" s="80">
        <f>'Приложение 3'!F95</f>
        <v>200</v>
      </c>
      <c r="F90" s="65">
        <f>'Приложение 3'!G95</f>
        <v>263.6</v>
      </c>
      <c r="G90" s="65">
        <f>'Приложение 3'!H95</f>
        <v>0</v>
      </c>
      <c r="H90" s="65">
        <f t="shared" si="1"/>
        <v>0</v>
      </c>
    </row>
    <row r="91" spans="1:8" ht="12.75" outlineLevel="5">
      <c r="A91" s="48" t="str">
        <f>'Приложение 3'!A96</f>
        <v>Условно утвержденные расходы</v>
      </c>
      <c r="B91" s="80" t="str">
        <f>'Приложение 3'!C96</f>
        <v>0113</v>
      </c>
      <c r="C91" s="80" t="str">
        <f>'Приложение 3'!D96</f>
        <v>99</v>
      </c>
      <c r="D91" s="80">
        <f>'Приложение 3'!E96</f>
        <v>0</v>
      </c>
      <c r="E91" s="80" t="s">
        <v>151</v>
      </c>
      <c r="F91" s="65">
        <f>'Приложение 3'!G96</f>
        <v>0</v>
      </c>
      <c r="G91" s="65">
        <f>'Приложение 3'!H96</f>
        <v>0</v>
      </c>
      <c r="H91" s="65" t="e">
        <f t="shared" si="1"/>
        <v>#DIV/0!</v>
      </c>
    </row>
    <row r="92" spans="1:8" ht="12.75" outlineLevel="5">
      <c r="A92" s="48" t="str">
        <f>'Приложение 3'!A97</f>
        <v>Национальная оборона </v>
      </c>
      <c r="B92" s="80" t="str">
        <f>'Приложение 3'!C97</f>
        <v>0200</v>
      </c>
      <c r="C92" s="80"/>
      <c r="D92" s="80"/>
      <c r="E92" s="80"/>
      <c r="F92" s="65">
        <f>'Приложение 3'!G97</f>
        <v>320</v>
      </c>
      <c r="G92" s="65">
        <f>'Приложение 3'!H97</f>
        <v>0</v>
      </c>
      <c r="H92" s="65">
        <f t="shared" si="1"/>
        <v>0</v>
      </c>
    </row>
    <row r="93" spans="1:8" ht="12.75" outlineLevel="5">
      <c r="A93" s="48" t="str">
        <f>'Приложение 3'!A98</f>
        <v>Мобилизационная подготовка экономики</v>
      </c>
      <c r="B93" s="80" t="str">
        <f>'Приложение 3'!C98</f>
        <v>0204</v>
      </c>
      <c r="C93" s="80"/>
      <c r="D93" s="80"/>
      <c r="E93" s="80"/>
      <c r="F93" s="65">
        <f>'Приложение 3'!G98</f>
        <v>320</v>
      </c>
      <c r="G93" s="65">
        <f>'Приложение 3'!H98</f>
        <v>0</v>
      </c>
      <c r="H93" s="65">
        <f t="shared" si="1"/>
        <v>0</v>
      </c>
    </row>
    <row r="94" spans="1:8" ht="24" outlineLevel="2">
      <c r="A94" s="48" t="str">
        <f>'Приложение 3'!A99</f>
        <v>Мероприятия по обеспечению мобилизационной готовности экономики</v>
      </c>
      <c r="B94" s="80" t="str">
        <f>'Приложение 3'!C99</f>
        <v>0204</v>
      </c>
      <c r="C94" s="80"/>
      <c r="D94" s="80"/>
      <c r="E94" s="80"/>
      <c r="F94" s="65">
        <f>'Приложение 3'!G99</f>
        <v>320</v>
      </c>
      <c r="G94" s="65">
        <f>'Приложение 3'!H99</f>
        <v>0</v>
      </c>
      <c r="H94" s="65">
        <f t="shared" si="1"/>
        <v>0</v>
      </c>
    </row>
    <row r="95" spans="1:8" ht="24.75" customHeight="1" outlineLevel="5">
      <c r="A95" s="48" t="str">
        <f>'Приложение 3'!A100</f>
        <v>Непрограммные расходы органов местного самоуправления Алексеевского муниципального района</v>
      </c>
      <c r="B95" s="80" t="str">
        <f>'Приложение 3'!C100</f>
        <v>0204</v>
      </c>
      <c r="C95" s="80" t="str">
        <f>'Приложение 3'!D100</f>
        <v>99</v>
      </c>
      <c r="D95" s="80">
        <f>'Приложение 3'!E100</f>
        <v>0</v>
      </c>
      <c r="E95" s="80"/>
      <c r="F95" s="65">
        <f>'Приложение 3'!G100</f>
        <v>320</v>
      </c>
      <c r="G95" s="65">
        <f>'Приложение 3'!H100</f>
        <v>0</v>
      </c>
      <c r="H95" s="65">
        <f t="shared" si="1"/>
        <v>0</v>
      </c>
    </row>
    <row r="96" spans="1:8" ht="24.75" customHeight="1" outlineLevel="5">
      <c r="A96" s="48" t="str">
        <f>'Приложение 3'!A101</f>
        <v>Закупка товаров, работ и услуг для государственных (муниципальных) нужд</v>
      </c>
      <c r="B96" s="80" t="str">
        <f>'Приложение 3'!C101</f>
        <v>0204</v>
      </c>
      <c r="C96" s="80" t="str">
        <f>'Приложение 3'!D101</f>
        <v>99</v>
      </c>
      <c r="D96" s="80">
        <f>'Приложение 3'!E101</f>
        <v>0</v>
      </c>
      <c r="E96" s="80">
        <f>'Приложение 3'!F101</f>
        <v>200</v>
      </c>
      <c r="F96" s="65">
        <f>'Приложение 3'!G101</f>
        <v>320</v>
      </c>
      <c r="G96" s="65">
        <f>'Приложение 3'!H101</f>
        <v>0</v>
      </c>
      <c r="H96" s="65">
        <f t="shared" si="1"/>
        <v>0</v>
      </c>
    </row>
    <row r="97" spans="1:8" ht="24" outlineLevel="5">
      <c r="A97" s="48" t="str">
        <f>'Приложение 3'!A102</f>
        <v>Национальная безопасность и правоохранительная деятельность</v>
      </c>
      <c r="B97" s="80" t="str">
        <f>'Приложение 3'!C102</f>
        <v>0300</v>
      </c>
      <c r="C97" s="80"/>
      <c r="D97" s="80"/>
      <c r="E97" s="80"/>
      <c r="F97" s="65">
        <f>'Приложение 3'!G102</f>
        <v>70</v>
      </c>
      <c r="G97" s="65">
        <f>'Приложение 3'!H102</f>
        <v>0</v>
      </c>
      <c r="H97" s="65">
        <f t="shared" si="1"/>
        <v>0</v>
      </c>
    </row>
    <row r="98" spans="1:8" ht="12.75" outlineLevel="5">
      <c r="A98" s="48" t="str">
        <f>'Приложение 3'!A103</f>
        <v>Гражданская оборона</v>
      </c>
      <c r="B98" s="80" t="str">
        <f>'Приложение 3'!C103</f>
        <v>0309</v>
      </c>
      <c r="C98" s="80"/>
      <c r="D98" s="80"/>
      <c r="E98" s="80"/>
      <c r="F98" s="65">
        <f>'Приложение 3'!G103</f>
        <v>20</v>
      </c>
      <c r="G98" s="65">
        <f>'Приложение 3'!H103</f>
        <v>0</v>
      </c>
      <c r="H98" s="65">
        <f t="shared" si="1"/>
        <v>0</v>
      </c>
    </row>
    <row r="99" spans="1:8" ht="24" outlineLevel="5">
      <c r="A99" s="48" t="str">
        <f>'Приложение 3'!A104</f>
        <v>Непрограммные расходы органов местного самоуправления Алексеевского муниципального района</v>
      </c>
      <c r="B99" s="80" t="str">
        <f>'Приложение 3'!C104</f>
        <v>0309</v>
      </c>
      <c r="C99" s="80" t="str">
        <f>'Приложение 3'!D104</f>
        <v>99</v>
      </c>
      <c r="D99" s="80">
        <f>'Приложение 3'!E104</f>
        <v>0</v>
      </c>
      <c r="E99" s="80"/>
      <c r="F99" s="65">
        <f>'Приложение 3'!G104</f>
        <v>20</v>
      </c>
      <c r="G99" s="65">
        <f>'Приложение 3'!H104</f>
        <v>0</v>
      </c>
      <c r="H99" s="65">
        <f t="shared" si="1"/>
        <v>0</v>
      </c>
    </row>
    <row r="100" spans="1:8" ht="24" outlineLevel="5">
      <c r="A100" s="48" t="str">
        <f>'Приложение 3'!A105</f>
        <v>Закупка товаров, работ и услуг для государственных (муниципальных) нужд</v>
      </c>
      <c r="B100" s="80" t="str">
        <f>'Приложение 3'!C105</f>
        <v>0309</v>
      </c>
      <c r="C100" s="80" t="str">
        <f>'Приложение 3'!D105</f>
        <v>99</v>
      </c>
      <c r="D100" s="80">
        <f>'Приложение 3'!E105</f>
        <v>0</v>
      </c>
      <c r="E100" s="80">
        <f>'Приложение 3'!F105</f>
        <v>200</v>
      </c>
      <c r="F100" s="65">
        <f>'Приложение 3'!G105</f>
        <v>20</v>
      </c>
      <c r="G100" s="65">
        <f>'Приложение 3'!H105</f>
        <v>0</v>
      </c>
      <c r="H100" s="65">
        <f t="shared" si="1"/>
        <v>0</v>
      </c>
    </row>
    <row r="101" spans="1:8" ht="31.5" customHeight="1" outlineLevel="2">
      <c r="A101" s="48" t="str">
        <f>'Приложение 3'!A106</f>
        <v>Защита населения и территории от чрезвычайных ситуаций природного и техногенного характера, пожарная безопасность</v>
      </c>
      <c r="B101" s="80" t="str">
        <f>'Приложение 3'!C106</f>
        <v>0310</v>
      </c>
      <c r="C101" s="80"/>
      <c r="D101" s="80"/>
      <c r="E101" s="80"/>
      <c r="F101" s="65">
        <f>'Приложение 3'!G106</f>
        <v>50</v>
      </c>
      <c r="G101" s="65">
        <f>'Приложение 3'!H106</f>
        <v>0</v>
      </c>
      <c r="H101" s="65">
        <f t="shared" si="1"/>
        <v>0</v>
      </c>
    </row>
    <row r="102" spans="1:8" ht="28.5" customHeight="1" outlineLevel="5">
      <c r="A102" s="48" t="str">
        <f>'Приложение 3'!A107</f>
        <v>Непрограммные расходы органов местного самоуправления Алексеевского муниципального района</v>
      </c>
      <c r="B102" s="80" t="str">
        <f>'Приложение 3'!C107</f>
        <v>0310</v>
      </c>
      <c r="C102" s="80" t="str">
        <f>'Приложение 3'!D107</f>
        <v>99</v>
      </c>
      <c r="D102" s="80">
        <f>'Приложение 3'!E107</f>
        <v>0</v>
      </c>
      <c r="E102" s="80"/>
      <c r="F102" s="65">
        <f>'Приложение 3'!G107</f>
        <v>50</v>
      </c>
      <c r="G102" s="65">
        <f>'Приложение 3'!H107</f>
        <v>0</v>
      </c>
      <c r="H102" s="65">
        <f t="shared" si="1"/>
        <v>0</v>
      </c>
    </row>
    <row r="103" spans="1:8" ht="27" customHeight="1" outlineLevel="5">
      <c r="A103" s="48" t="str">
        <f>'Приложение 3'!A108</f>
        <v>Закупка товаров, работ и услуг для государственных (муниципальных) нужд</v>
      </c>
      <c r="B103" s="80" t="str">
        <f>'Приложение 3'!C108</f>
        <v>0310</v>
      </c>
      <c r="C103" s="80" t="str">
        <f>'Приложение 3'!D108</f>
        <v>99</v>
      </c>
      <c r="D103" s="80">
        <f>'Приложение 3'!E108</f>
        <v>0</v>
      </c>
      <c r="E103" s="80">
        <f>'Приложение 3'!F108</f>
        <v>200</v>
      </c>
      <c r="F103" s="65">
        <f>'Приложение 3'!G108</f>
        <v>50</v>
      </c>
      <c r="G103" s="65">
        <f>'Приложение 3'!H108</f>
        <v>0</v>
      </c>
      <c r="H103" s="65">
        <f t="shared" si="1"/>
        <v>0</v>
      </c>
    </row>
    <row r="104" spans="1:8" ht="18" customHeight="1" hidden="1" outlineLevel="3">
      <c r="A104" s="48" t="e">
        <f>'Приложение 3'!#REF!</f>
        <v>#REF!</v>
      </c>
      <c r="B104" s="80" t="e">
        <f>'Приложение 3'!#REF!</f>
        <v>#REF!</v>
      </c>
      <c r="C104" s="80"/>
      <c r="D104" s="80"/>
      <c r="E104" s="80"/>
      <c r="F104" s="65" t="e">
        <f>'Приложение 3'!#REF!</f>
        <v>#REF!</v>
      </c>
      <c r="G104" s="65" t="e">
        <f>'Приложение 3'!#REF!</f>
        <v>#REF!</v>
      </c>
      <c r="H104" s="65" t="e">
        <f t="shared" si="1"/>
        <v>#REF!</v>
      </c>
    </row>
    <row r="105" spans="1:8" ht="27" customHeight="1" hidden="1" outlineLevel="3">
      <c r="A105" s="48" t="e">
        <f>'Приложение 3'!#REF!</f>
        <v>#REF!</v>
      </c>
      <c r="B105" s="80" t="e">
        <f>'Приложение 3'!#REF!</f>
        <v>#REF!</v>
      </c>
      <c r="C105" s="80" t="e">
        <f>'Приложение 3'!#REF!</f>
        <v>#REF!</v>
      </c>
      <c r="D105" s="80" t="e">
        <f>'Приложение 3'!#REF!</f>
        <v>#REF!</v>
      </c>
      <c r="E105" s="80"/>
      <c r="F105" s="65" t="e">
        <f>'Приложение 3'!#REF!</f>
        <v>#REF!</v>
      </c>
      <c r="G105" s="65" t="e">
        <f>'Приложение 3'!#REF!</f>
        <v>#REF!</v>
      </c>
      <c r="H105" s="65" t="e">
        <f t="shared" si="1"/>
        <v>#REF!</v>
      </c>
    </row>
    <row r="106" spans="1:8" ht="27" customHeight="1" hidden="1" outlineLevel="3">
      <c r="A106" s="48" t="e">
        <f>'Приложение 3'!#REF!</f>
        <v>#REF!</v>
      </c>
      <c r="B106" s="80" t="e">
        <f>'Приложение 3'!#REF!</f>
        <v>#REF!</v>
      </c>
      <c r="C106" s="80" t="e">
        <f>'Приложение 3'!#REF!</f>
        <v>#REF!</v>
      </c>
      <c r="D106" s="80" t="e">
        <f>'Приложение 3'!#REF!</f>
        <v>#REF!</v>
      </c>
      <c r="E106" s="80" t="e">
        <f>'Приложение 3'!#REF!</f>
        <v>#REF!</v>
      </c>
      <c r="F106" s="65" t="e">
        <f>'Приложение 3'!#REF!</f>
        <v>#REF!</v>
      </c>
      <c r="G106" s="65" t="e">
        <f>'Приложение 3'!#REF!</f>
        <v>#REF!</v>
      </c>
      <c r="H106" s="65" t="e">
        <f t="shared" si="1"/>
        <v>#REF!</v>
      </c>
    </row>
    <row r="107" spans="1:8" ht="11.25" customHeight="1" outlineLevel="3">
      <c r="A107" s="48" t="str">
        <f>'Приложение 3'!A109</f>
        <v>Национальная экономика</v>
      </c>
      <c r="B107" s="80" t="str">
        <f>'Приложение 3'!C109</f>
        <v>0400</v>
      </c>
      <c r="C107" s="80"/>
      <c r="D107" s="80"/>
      <c r="E107" s="80"/>
      <c r="F107" s="65">
        <f>'Приложение 3'!G109</f>
        <v>39782.97663</v>
      </c>
      <c r="G107" s="65">
        <f>'Приложение 3'!H109</f>
        <v>142</v>
      </c>
      <c r="H107" s="65">
        <f t="shared" si="1"/>
        <v>0.35693658953844853</v>
      </c>
    </row>
    <row r="108" spans="1:8" ht="12.75" outlineLevel="3">
      <c r="A108" s="48" t="str">
        <f>'Приложение 3'!A110</f>
        <v>Сельское хозяйство и рыболовство</v>
      </c>
      <c r="B108" s="80" t="str">
        <f>'Приложение 3'!C110</f>
        <v>0405</v>
      </c>
      <c r="C108" s="80"/>
      <c r="D108" s="80"/>
      <c r="E108" s="80"/>
      <c r="F108" s="65">
        <f>'Приложение 3'!G110</f>
        <v>134.4</v>
      </c>
      <c r="G108" s="65">
        <f>'Приложение 3'!H110</f>
        <v>0</v>
      </c>
      <c r="H108" s="65">
        <f t="shared" si="1"/>
        <v>0</v>
      </c>
    </row>
    <row r="109" spans="1:8" ht="48" outlineLevel="3">
      <c r="A109" s="48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0" t="str">
        <f>'Приложение 3'!C111</f>
        <v>0405</v>
      </c>
      <c r="C109" s="80" t="str">
        <f>'Приложение 3'!D111</f>
        <v>99</v>
      </c>
      <c r="D109" s="80">
        <f>'Приложение 3'!E111</f>
        <v>0</v>
      </c>
      <c r="E109" s="80"/>
      <c r="F109" s="65">
        <f>'Приложение 3'!G111</f>
        <v>134.4</v>
      </c>
      <c r="G109" s="65">
        <f>'Приложение 3'!H111</f>
        <v>0</v>
      </c>
      <c r="H109" s="65">
        <f t="shared" si="1"/>
        <v>0</v>
      </c>
    </row>
    <row r="110" spans="1:8" ht="24" outlineLevel="3">
      <c r="A110" s="48" t="str">
        <f>'Приложение 3'!A112</f>
        <v>Непрограммные расходы органов местного самоуправления Алексеевского муниципального района</v>
      </c>
      <c r="B110" s="80" t="str">
        <f>'Приложение 3'!C112</f>
        <v>0405</v>
      </c>
      <c r="C110" s="80" t="str">
        <f>'Приложение 3'!D112</f>
        <v>99</v>
      </c>
      <c r="D110" s="80">
        <f>'Приложение 3'!E112</f>
        <v>0</v>
      </c>
      <c r="E110" s="80"/>
      <c r="F110" s="65">
        <f>'Приложение 3'!G112</f>
        <v>134.4</v>
      </c>
      <c r="G110" s="65">
        <f>'Приложение 3'!H112</f>
        <v>0</v>
      </c>
      <c r="H110" s="65">
        <f t="shared" si="1"/>
        <v>0</v>
      </c>
    </row>
    <row r="111" spans="1:8" ht="24" outlineLevel="3">
      <c r="A111" s="48" t="str">
        <f>'Приложение 3'!A113</f>
        <v>Закупка товаров, работ и услуг для государственных (муниципальных) нужд</v>
      </c>
      <c r="B111" s="80" t="str">
        <f>'Приложение 3'!C113</f>
        <v>0405</v>
      </c>
      <c r="C111" s="80" t="str">
        <f>'Приложение 3'!D113</f>
        <v>99</v>
      </c>
      <c r="D111" s="80">
        <f>'Приложение 3'!E113</f>
        <v>0</v>
      </c>
      <c r="E111" s="80">
        <f>'Приложение 3'!F113</f>
        <v>200</v>
      </c>
      <c r="F111" s="65">
        <f>'Приложение 3'!G113</f>
        <v>134.4</v>
      </c>
      <c r="G111" s="65">
        <f>'Приложение 3'!H113</f>
        <v>0</v>
      </c>
      <c r="H111" s="65">
        <f t="shared" si="1"/>
        <v>0</v>
      </c>
    </row>
    <row r="112" spans="1:8" ht="12.75" outlineLevel="3">
      <c r="A112" s="48" t="str">
        <f>'Приложение 3'!A114</f>
        <v>Дорожное хозяйство (дорожные фонды)</v>
      </c>
      <c r="B112" s="80" t="str">
        <f>'Приложение 3'!C114</f>
        <v>0409</v>
      </c>
      <c r="C112" s="80"/>
      <c r="D112" s="80"/>
      <c r="E112" s="80"/>
      <c r="F112" s="65">
        <f>'Приложение 3'!G114</f>
        <v>39023.576629999996</v>
      </c>
      <c r="G112" s="65">
        <f>'Приложение 3'!H114</f>
        <v>0</v>
      </c>
      <c r="H112" s="65">
        <f t="shared" si="1"/>
        <v>0</v>
      </c>
    </row>
    <row r="113" spans="1:8" ht="48" outlineLevel="3">
      <c r="A113" s="48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0" t="str">
        <f>'Приложение 3'!C115</f>
        <v>0409</v>
      </c>
      <c r="C113" s="80" t="str">
        <f>'Приложение 3'!D115</f>
        <v>18</v>
      </c>
      <c r="D113" s="80">
        <f>'Приложение 3'!E115</f>
        <v>0</v>
      </c>
      <c r="E113" s="80"/>
      <c r="F113" s="65">
        <f>'Приложение 3'!G115</f>
        <v>39023.576629999996</v>
      </c>
      <c r="G113" s="65">
        <f>'Приложение 3'!H115</f>
        <v>0</v>
      </c>
      <c r="H113" s="65">
        <f t="shared" si="1"/>
        <v>0</v>
      </c>
    </row>
    <row r="114" spans="1:8" ht="27" customHeight="1" outlineLevel="1">
      <c r="A114" s="48" t="str">
        <f>'Приложение 3'!A116</f>
        <v>Закупка товаров, работ и услуг для государственных (муниципальных) нужд</v>
      </c>
      <c r="B114" s="80" t="str">
        <f>'Приложение 3'!C116</f>
        <v>0409</v>
      </c>
      <c r="C114" s="80" t="str">
        <f>'Приложение 3'!D116</f>
        <v>18</v>
      </c>
      <c r="D114" s="80">
        <f>'Приложение 3'!E116</f>
        <v>0</v>
      </c>
      <c r="E114" s="80">
        <f>'Приложение 3'!F116</f>
        <v>200</v>
      </c>
      <c r="F114" s="65">
        <f>'Приложение 3'!G116</f>
        <v>13300.97057</v>
      </c>
      <c r="G114" s="65">
        <f>'Приложение 3'!H116</f>
        <v>0</v>
      </c>
      <c r="H114" s="65">
        <f t="shared" si="1"/>
        <v>0</v>
      </c>
    </row>
    <row r="115" spans="1:8" ht="24" outlineLevel="1">
      <c r="A115" s="48" t="str">
        <f>'Приложение 3'!A117</f>
        <v>Субсидия на реализацию мероприятий в сфере дорожной деятельности </v>
      </c>
      <c r="B115" s="80" t="str">
        <f>'Приложение 3'!C117</f>
        <v>0409</v>
      </c>
      <c r="C115" s="80" t="str">
        <f>'Приложение 3'!D117</f>
        <v>18</v>
      </c>
      <c r="D115" s="80">
        <f>'Приложение 3'!E117</f>
        <v>0</v>
      </c>
      <c r="E115" s="80">
        <f>'Приложение 3'!F117</f>
        <v>200</v>
      </c>
      <c r="F115" s="65">
        <f>'Приложение 3'!G117</f>
        <v>13966.529999999999</v>
      </c>
      <c r="G115" s="65">
        <f>'Приложение 3'!H117</f>
        <v>0</v>
      </c>
      <c r="H115" s="65">
        <f t="shared" si="1"/>
        <v>0</v>
      </c>
    </row>
    <row r="116" spans="1:8" ht="37.5" customHeight="1" outlineLevel="1">
      <c r="A116" s="48" t="str">
        <f>'Приложение 3'!A118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80" t="str">
        <f>'Приложение 3'!C118</f>
        <v>0409</v>
      </c>
      <c r="C116" s="80" t="str">
        <f>'Приложение 3'!D118</f>
        <v>18</v>
      </c>
      <c r="D116" s="80">
        <f>'Приложение 3'!E118</f>
        <v>0</v>
      </c>
      <c r="E116" s="80">
        <f>'Приложение 3'!F118</f>
        <v>200</v>
      </c>
      <c r="F116" s="65">
        <f>'Приложение 3'!G118</f>
        <v>141.07605999999998</v>
      </c>
      <c r="G116" s="65">
        <f>'Приложение 3'!H118</f>
        <v>0</v>
      </c>
      <c r="H116" s="65">
        <f t="shared" si="1"/>
        <v>0</v>
      </c>
    </row>
    <row r="117" spans="1:8" ht="24" outlineLevel="1">
      <c r="A117" s="48" t="str">
        <f>'Приложение 3'!A119</f>
        <v>Межбюджетные трансферты за счет средств субсидии на реализацию мероприятий в сфере дорожной деятельности</v>
      </c>
      <c r="B117" s="80" t="str">
        <f>'Приложение 3'!C119</f>
        <v>0409</v>
      </c>
      <c r="C117" s="80" t="str">
        <f>'Приложение 3'!D119</f>
        <v>18</v>
      </c>
      <c r="D117" s="80">
        <f>'Приложение 3'!E119</f>
        <v>0</v>
      </c>
      <c r="E117" s="80">
        <f>'Приложение 3'!F119</f>
        <v>500</v>
      </c>
      <c r="F117" s="65">
        <f>'Приложение 3'!G119</f>
        <v>11615</v>
      </c>
      <c r="G117" s="65">
        <f>'Приложение 3'!H119</f>
        <v>0</v>
      </c>
      <c r="H117" s="65">
        <f t="shared" si="1"/>
        <v>0</v>
      </c>
    </row>
    <row r="118" spans="1:8" ht="24" hidden="1" outlineLevel="1">
      <c r="A118" s="48" t="str">
        <f>'Приложение 3'!A120</f>
        <v>Муниципальная программа "Комплексное развитие сельских территорий"</v>
      </c>
      <c r="B118" s="80" t="str">
        <f>'Приложение 3'!C120</f>
        <v>0409</v>
      </c>
      <c r="C118" s="80" t="str">
        <f>'Приложение 3'!D120</f>
        <v>03</v>
      </c>
      <c r="D118" s="80">
        <f>'Приложение 3'!E120</f>
        <v>0</v>
      </c>
      <c r="E118" s="80"/>
      <c r="F118" s="65">
        <f>'Приложение 3'!G120</f>
        <v>0</v>
      </c>
      <c r="G118" s="65">
        <f>'Приложение 3'!H120</f>
        <v>0</v>
      </c>
      <c r="H118" s="65" t="e">
        <f t="shared" si="1"/>
        <v>#DIV/0!</v>
      </c>
    </row>
    <row r="119" spans="1:8" ht="24" hidden="1" outlineLevel="1">
      <c r="A119" s="48" t="str">
        <f>'Приложение 3'!A121</f>
        <v>Предоставление субсидий бюджетным, автономным учреждениям и иным некоммерческим организациям</v>
      </c>
      <c r="B119" s="80" t="str">
        <f>'Приложение 3'!C121</f>
        <v>0409</v>
      </c>
      <c r="C119" s="80" t="str">
        <f>'Приложение 3'!D121</f>
        <v>03</v>
      </c>
      <c r="D119" s="80">
        <f>'Приложение 3'!E121</f>
        <v>0</v>
      </c>
      <c r="E119" s="80">
        <f>'Приложение 3'!F121</f>
        <v>600</v>
      </c>
      <c r="F119" s="65">
        <f>'Приложение 3'!G121</f>
        <v>0</v>
      </c>
      <c r="G119" s="65">
        <f>'Приложение 3'!H121</f>
        <v>0</v>
      </c>
      <c r="H119" s="65" t="e">
        <f t="shared" si="1"/>
        <v>#DIV/0!</v>
      </c>
    </row>
    <row r="120" spans="1:8" ht="12.75" outlineLevel="2">
      <c r="A120" s="48" t="str">
        <f>'Приложение 3'!A122</f>
        <v>Другие вопросы в области национальной экономики</v>
      </c>
      <c r="B120" s="80" t="str">
        <f>'Приложение 3'!C122</f>
        <v>0412</v>
      </c>
      <c r="C120" s="80"/>
      <c r="D120" s="80"/>
      <c r="E120" s="80"/>
      <c r="F120" s="65">
        <f>'Приложение 3'!G122</f>
        <v>625</v>
      </c>
      <c r="G120" s="65">
        <f>'Приложение 3'!H122</f>
        <v>142</v>
      </c>
      <c r="H120" s="65">
        <f t="shared" si="1"/>
        <v>22.720000000000002</v>
      </c>
    </row>
    <row r="121" spans="1:8" ht="35.25" customHeight="1" outlineLevel="2">
      <c r="A121" s="48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0" t="str">
        <f>'Приложение 3'!C123</f>
        <v>0412</v>
      </c>
      <c r="C121" s="80" t="str">
        <f>'Приложение 3'!D123</f>
        <v>04</v>
      </c>
      <c r="D121" s="80">
        <f>'Приложение 3'!E123</f>
        <v>0</v>
      </c>
      <c r="E121" s="80"/>
      <c r="F121" s="65">
        <f>'Приложение 3'!G123</f>
        <v>100</v>
      </c>
      <c r="G121" s="65">
        <f>'Приложение 3'!H123</f>
        <v>0</v>
      </c>
      <c r="H121" s="65">
        <f t="shared" si="1"/>
        <v>0</v>
      </c>
    </row>
    <row r="122" spans="1:8" ht="108" customHeight="1" hidden="1" outlineLevel="2">
      <c r="A122" s="48" t="str">
        <f>'Приложение 3'!A124</f>
        <v>Закупка товаров, работ и услуг для государственных (муниципальных) нужд</v>
      </c>
      <c r="B122" s="80" t="str">
        <f>'Приложение 3'!C124</f>
        <v>0412</v>
      </c>
      <c r="C122" s="80" t="str">
        <f>'Приложение 3'!D124</f>
        <v>04</v>
      </c>
      <c r="D122" s="80">
        <f>'Приложение 3'!E124</f>
        <v>0</v>
      </c>
      <c r="E122" s="80">
        <f>'Приложение 3'!F124</f>
        <v>200</v>
      </c>
      <c r="F122" s="65">
        <f>'Приложение 3'!G124</f>
        <v>0</v>
      </c>
      <c r="G122" s="65">
        <f>'Приложение 3'!H124</f>
        <v>0</v>
      </c>
      <c r="H122" s="65" t="e">
        <f t="shared" si="1"/>
        <v>#DIV/0!</v>
      </c>
    </row>
    <row r="123" spans="1:8" ht="165" customHeight="1" hidden="1" outlineLevel="2">
      <c r="A123" s="48" t="str">
        <f>'Приложение 3'!A125</f>
        <v>Социальное обеспечение и иные выплаты населению</v>
      </c>
      <c r="B123" s="80" t="str">
        <f>'Приложение 3'!C125</f>
        <v>0412</v>
      </c>
      <c r="C123" s="80" t="str">
        <f>'Приложение 3'!D125</f>
        <v>04</v>
      </c>
      <c r="D123" s="80">
        <f>'Приложение 3'!E125</f>
        <v>0</v>
      </c>
      <c r="E123" s="80">
        <f>'Приложение 3'!F125</f>
        <v>300</v>
      </c>
      <c r="F123" s="65">
        <f>'Приложение 3'!G125</f>
        <v>0</v>
      </c>
      <c r="G123" s="65">
        <f>'Приложение 3'!H125</f>
        <v>0</v>
      </c>
      <c r="H123" s="65" t="e">
        <f t="shared" si="1"/>
        <v>#DIV/0!</v>
      </c>
    </row>
    <row r="124" spans="1:8" ht="12.75" outlineLevel="2">
      <c r="A124" s="48" t="str">
        <f>'Приложение 3'!A126</f>
        <v>Иные бюджетные ассигнования</v>
      </c>
      <c r="B124" s="80" t="str">
        <f>'Приложение 3'!C126</f>
        <v>0412</v>
      </c>
      <c r="C124" s="80" t="str">
        <f>'Приложение 3'!D126</f>
        <v>04</v>
      </c>
      <c r="D124" s="80">
        <f>'Приложение 3'!E126</f>
        <v>0</v>
      </c>
      <c r="E124" s="80">
        <f>'Приложение 3'!F126</f>
        <v>800</v>
      </c>
      <c r="F124" s="65">
        <f>'Приложение 3'!G126</f>
        <v>100</v>
      </c>
      <c r="G124" s="65">
        <f>'Приложение 3'!H126</f>
        <v>0</v>
      </c>
      <c r="H124" s="65">
        <f t="shared" si="1"/>
        <v>0</v>
      </c>
    </row>
    <row r="125" spans="1:8" ht="39" customHeight="1" outlineLevel="2">
      <c r="A125" s="48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годы"</v>
      </c>
      <c r="B125" s="80" t="str">
        <f>'Приложение 3'!C127</f>
        <v>0412</v>
      </c>
      <c r="C125" s="80" t="str">
        <f>'Приложение 3'!D127</f>
        <v>09</v>
      </c>
      <c r="D125" s="80">
        <f>'Приложение 3'!E127</f>
        <v>0</v>
      </c>
      <c r="E125" s="80"/>
      <c r="F125" s="65">
        <f>'Приложение 3'!G127</f>
        <v>525</v>
      </c>
      <c r="G125" s="65">
        <f>'Приложение 3'!H127</f>
        <v>142</v>
      </c>
      <c r="H125" s="65">
        <f t="shared" si="1"/>
        <v>27.047619047619047</v>
      </c>
    </row>
    <row r="126" spans="1:8" ht="24" customHeight="1" outlineLevel="2">
      <c r="A126" s="48" t="str">
        <f>'Приложение 3'!A128</f>
        <v>Закупка товаров, работ и услуг для государственных (муниципальных) нужд</v>
      </c>
      <c r="B126" s="80" t="str">
        <f>'Приложение 3'!C128</f>
        <v>0412</v>
      </c>
      <c r="C126" s="80" t="str">
        <f>'Приложение 3'!D128</f>
        <v>09</v>
      </c>
      <c r="D126" s="80">
        <f>'Приложение 3'!E128</f>
        <v>0</v>
      </c>
      <c r="E126" s="80">
        <f>'Приложение 3'!F128</f>
        <v>200</v>
      </c>
      <c r="F126" s="65">
        <f>'Приложение 3'!G128</f>
        <v>525</v>
      </c>
      <c r="G126" s="65">
        <f>'Приложение 3'!H128</f>
        <v>142</v>
      </c>
      <c r="H126" s="65">
        <f t="shared" si="1"/>
        <v>27.047619047619047</v>
      </c>
    </row>
    <row r="127" spans="1:8" ht="12.75" outlineLevel="2" collapsed="1">
      <c r="A127" s="48" t="str">
        <f>'Приложение 3'!A129</f>
        <v>Межбюджетные трансферты</v>
      </c>
      <c r="B127" s="80" t="str">
        <f>'Приложение 3'!C129</f>
        <v>0412</v>
      </c>
      <c r="C127" s="80" t="str">
        <f>'Приложение 3'!D129</f>
        <v>09</v>
      </c>
      <c r="D127" s="80">
        <f>'Приложение 3'!E129</f>
        <v>0</v>
      </c>
      <c r="E127" s="80">
        <f>'Приложение 3'!F129</f>
        <v>500</v>
      </c>
      <c r="F127" s="65">
        <f>'Приложение 3'!G129</f>
        <v>0</v>
      </c>
      <c r="G127" s="65">
        <f>'Приложение 3'!H129</f>
        <v>0</v>
      </c>
      <c r="H127" s="65" t="e">
        <f t="shared" si="1"/>
        <v>#DIV/0!</v>
      </c>
    </row>
    <row r="128" spans="1:8" ht="199.5" customHeight="1" hidden="1" outlineLevel="3">
      <c r="A128" s="48" t="str">
        <f>'Приложение 3'!A130</f>
        <v>Непрограммные расходы органов местного самоуправления Алексеевского муниципального района</v>
      </c>
      <c r="B128" s="80" t="str">
        <f>'Приложение 3'!C130</f>
        <v>0412</v>
      </c>
      <c r="C128" s="80" t="str">
        <f>'Приложение 3'!D130</f>
        <v>99</v>
      </c>
      <c r="D128" s="80">
        <f>'Приложение 3'!E130</f>
        <v>0</v>
      </c>
      <c r="E128" s="80"/>
      <c r="F128" s="65">
        <f>'Приложение 3'!G130</f>
        <v>0</v>
      </c>
      <c r="G128" s="65">
        <f>'Приложение 3'!H130</f>
        <v>0</v>
      </c>
      <c r="H128" s="65" t="e">
        <f t="shared" si="1"/>
        <v>#DIV/0!</v>
      </c>
    </row>
    <row r="129" spans="1:8" ht="285" customHeight="1" hidden="1" outlineLevel="3">
      <c r="A129" s="48" t="str">
        <f>'Приложение 3'!A131</f>
        <v>Премии и гранты</v>
      </c>
      <c r="B129" s="80" t="str">
        <f>'Приложение 3'!C131</f>
        <v>0412</v>
      </c>
      <c r="C129" s="80" t="str">
        <f>'Приложение 3'!D131</f>
        <v>99</v>
      </c>
      <c r="D129" s="80">
        <f>'Приложение 3'!E131</f>
        <v>0</v>
      </c>
      <c r="E129" s="80">
        <f>'Приложение 3'!F131</f>
        <v>300</v>
      </c>
      <c r="F129" s="65">
        <f>'Приложение 3'!G131</f>
        <v>0</v>
      </c>
      <c r="G129" s="65">
        <f>'Приложение 3'!H131</f>
        <v>0</v>
      </c>
      <c r="H129" s="65" t="e">
        <f t="shared" si="1"/>
        <v>#DIV/0!</v>
      </c>
    </row>
    <row r="130" spans="1:8" ht="12.75" outlineLevel="2">
      <c r="A130" s="48" t="str">
        <f>'Приложение 3'!A132</f>
        <v>Жилищно-коммунальное хозяйство</v>
      </c>
      <c r="B130" s="80" t="str">
        <f>'Приложение 3'!C132</f>
        <v>0500</v>
      </c>
      <c r="C130" s="80"/>
      <c r="D130" s="80"/>
      <c r="E130" s="80"/>
      <c r="F130" s="65">
        <f>'Приложение 3'!G132</f>
        <v>133981.52532000002</v>
      </c>
      <c r="G130" s="65">
        <f>'Приложение 3'!H132</f>
        <v>5684.019670000001</v>
      </c>
      <c r="H130" s="65">
        <f t="shared" si="1"/>
        <v>4.24239062544209</v>
      </c>
    </row>
    <row r="131" spans="1:8" ht="12.75" outlineLevel="3">
      <c r="A131" s="48" t="str">
        <f>'Приложение 3'!A133</f>
        <v>Коммунальное хозяйство</v>
      </c>
      <c r="B131" s="80" t="str">
        <f>'Приложение 3'!C133</f>
        <v>0502</v>
      </c>
      <c r="C131" s="80"/>
      <c r="D131" s="80"/>
      <c r="E131" s="80"/>
      <c r="F131" s="65">
        <f>'Приложение 3'!G133</f>
        <v>129427.70832</v>
      </c>
      <c r="G131" s="65">
        <f>'Приложение 3'!H133</f>
        <v>1130.20268</v>
      </c>
      <c r="H131" s="65">
        <f t="shared" si="1"/>
        <v>0.8732308519329272</v>
      </c>
    </row>
    <row r="132" spans="1:8" ht="37.5" customHeight="1" outlineLevel="3">
      <c r="A132" s="48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80" t="str">
        <f>'Приложение 3'!C134</f>
        <v>0502</v>
      </c>
      <c r="C132" s="80" t="str">
        <f>'Приложение 3'!D134</f>
        <v>02</v>
      </c>
      <c r="D132" s="80">
        <f>'Приложение 3'!E134</f>
        <v>0</v>
      </c>
      <c r="E132" s="80"/>
      <c r="F132" s="65">
        <f>'Приложение 3'!G134</f>
        <v>4476.85832</v>
      </c>
      <c r="G132" s="65">
        <f>'Приложение 3'!H134</f>
        <v>1112</v>
      </c>
      <c r="H132" s="65">
        <f t="shared" si="1"/>
        <v>24.83884725661812</v>
      </c>
    </row>
    <row r="133" spans="1:8" ht="36.75" customHeight="1" outlineLevel="3">
      <c r="A133" s="48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0" t="str">
        <f>'Приложение 3'!C135</f>
        <v>0502</v>
      </c>
      <c r="C133" s="80" t="str">
        <f>'Приложение 3'!D135</f>
        <v>02</v>
      </c>
      <c r="D133" s="80">
        <f>'Приложение 3'!E135</f>
        <v>1</v>
      </c>
      <c r="E133" s="80"/>
      <c r="F133" s="65">
        <f>'Приложение 3'!G135</f>
        <v>4448</v>
      </c>
      <c r="G133" s="65">
        <f>'Приложение 3'!H135</f>
        <v>1112</v>
      </c>
      <c r="H133" s="65">
        <f t="shared" si="1"/>
        <v>25</v>
      </c>
    </row>
    <row r="134" spans="1:8" ht="24" hidden="1" outlineLevel="3">
      <c r="A134" s="48" t="str">
        <f>'Приложение 3'!A136</f>
        <v>Закупка товаров, работ и услуг для государственных (муниципальных) нужд</v>
      </c>
      <c r="B134" s="80" t="str">
        <f>'Приложение 3'!C136</f>
        <v>0502</v>
      </c>
      <c r="C134" s="80" t="str">
        <f>'Приложение 3'!D136</f>
        <v>02</v>
      </c>
      <c r="D134" s="80">
        <f>'Приложение 3'!E136</f>
        <v>1</v>
      </c>
      <c r="E134" s="80">
        <f>'Приложение 3'!F136</f>
        <v>200</v>
      </c>
      <c r="F134" s="65">
        <f>'Приложение 3'!G136</f>
        <v>0</v>
      </c>
      <c r="G134" s="65">
        <f>'Приложение 3'!H136</f>
        <v>0</v>
      </c>
      <c r="H134" s="65" t="e">
        <f t="shared" si="1"/>
        <v>#DIV/0!</v>
      </c>
    </row>
    <row r="135" spans="1:8" ht="12.75" outlineLevel="3">
      <c r="A135" s="48" t="str">
        <f>'Приложение 3'!A137</f>
        <v>Межбюджетные трансферты</v>
      </c>
      <c r="B135" s="80" t="str">
        <f>'Приложение 3'!C137</f>
        <v>0502</v>
      </c>
      <c r="C135" s="80" t="str">
        <f>'Приложение 3'!D137</f>
        <v>02</v>
      </c>
      <c r="D135" s="80">
        <f>'Приложение 3'!E137</f>
        <v>1</v>
      </c>
      <c r="E135" s="80">
        <f>'Приложение 3'!F137</f>
        <v>500</v>
      </c>
      <c r="F135" s="65">
        <f>'Приложение 3'!G137</f>
        <v>4448</v>
      </c>
      <c r="G135" s="65">
        <f>'Приложение 3'!H137</f>
        <v>1112</v>
      </c>
      <c r="H135" s="65">
        <f t="shared" si="1"/>
        <v>25</v>
      </c>
    </row>
    <row r="136" spans="1:8" ht="36" outlineLevel="3">
      <c r="A136" s="48" t="str">
        <f>'Приложение 3'!A138</f>
        <v>Подпрограмма "Энергосбережение и повышение энергетической эффективности Алексеевского муниципального района"</v>
      </c>
      <c r="B136" s="80" t="str">
        <f>'Приложение 3'!C138</f>
        <v>0502</v>
      </c>
      <c r="C136" s="80" t="str">
        <f>'Приложение 3'!D138</f>
        <v>02</v>
      </c>
      <c r="D136" s="80">
        <f>'Приложение 3'!E138</f>
        <v>4</v>
      </c>
      <c r="E136" s="80"/>
      <c r="F136" s="65">
        <f>'Приложение 3'!G138</f>
        <v>28.85832</v>
      </c>
      <c r="G136" s="65">
        <f>'Приложение 3'!H138</f>
        <v>0</v>
      </c>
      <c r="H136" s="65">
        <f t="shared" si="1"/>
        <v>0</v>
      </c>
    </row>
    <row r="137" spans="1:8" ht="24" outlineLevel="3">
      <c r="A137" s="48" t="str">
        <f>'Приложение 3'!A139</f>
        <v>Закупка товаров, работ и услуг для государственных (муниципальных) нужд</v>
      </c>
      <c r="B137" s="80" t="str">
        <f>'Приложение 3'!C139</f>
        <v>0502</v>
      </c>
      <c r="C137" s="80" t="str">
        <f>'Приложение 3'!D139</f>
        <v>02</v>
      </c>
      <c r="D137" s="80">
        <f>'Приложение 3'!E139</f>
        <v>4</v>
      </c>
      <c r="E137" s="80">
        <f>'Приложение 3'!F139</f>
        <v>200</v>
      </c>
      <c r="F137" s="65">
        <f>'Приложение 3'!G139</f>
        <v>28.85832</v>
      </c>
      <c r="G137" s="65">
        <f>'Приложение 3'!H139</f>
        <v>0</v>
      </c>
      <c r="H137" s="65">
        <f t="shared" si="1"/>
        <v>0</v>
      </c>
    </row>
    <row r="138" spans="1:8" ht="24" outlineLevel="3">
      <c r="A138" s="48" t="str">
        <f>'Приложение 3'!A140</f>
        <v>Муниципальная программа "Комплексное развитие сельских территорий"</v>
      </c>
      <c r="B138" s="80" t="str">
        <f>'Приложение 3'!C140</f>
        <v>0502</v>
      </c>
      <c r="C138" s="80" t="str">
        <f>'Приложение 3'!D140</f>
        <v>03</v>
      </c>
      <c r="D138" s="80">
        <f>'Приложение 3'!E140</f>
        <v>0</v>
      </c>
      <c r="E138" s="80">
        <f>'Приложение 3'!F140</f>
        <v>0</v>
      </c>
      <c r="F138" s="65">
        <f>'Приложение 3'!G140</f>
        <v>124897.25</v>
      </c>
      <c r="G138" s="65">
        <f>'Приложение 3'!H140</f>
        <v>0</v>
      </c>
      <c r="H138" s="65">
        <f aca="true" t="shared" si="2" ref="H138:H201">SUM(G138/F138)*100</f>
        <v>0</v>
      </c>
    </row>
    <row r="139" spans="1:8" ht="16.5" customHeight="1" outlineLevel="3">
      <c r="A139" s="48" t="str">
        <f>'Приложение 3'!A141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9" s="80" t="str">
        <f>'Приложение 3'!C141</f>
        <v>0502</v>
      </c>
      <c r="C139" s="80" t="str">
        <f>'Приложение 3'!D141</f>
        <v>03</v>
      </c>
      <c r="D139" s="80">
        <f>'Приложение 3'!E141</f>
        <v>0</v>
      </c>
      <c r="E139" s="80">
        <f>'Приложение 3'!F141</f>
        <v>400</v>
      </c>
      <c r="F139" s="65">
        <f>'Приложение 3'!G141</f>
        <v>120673.704</v>
      </c>
      <c r="G139" s="65">
        <f>'Приложение 3'!H141</f>
        <v>0</v>
      </c>
      <c r="H139" s="65">
        <f t="shared" si="2"/>
        <v>0</v>
      </c>
    </row>
    <row r="140" spans="1:8" ht="24" outlineLevel="3">
      <c r="A140" s="48" t="str">
        <f>'Приложение 3'!A142</f>
        <v>Капитальные вложения в объекты государственной (муниципальной) собственности (софинансирование)</v>
      </c>
      <c r="B140" s="80" t="str">
        <f>'Приложение 3'!C142</f>
        <v>0502</v>
      </c>
      <c r="C140" s="80" t="str">
        <f>'Приложение 3'!D142</f>
        <v>03</v>
      </c>
      <c r="D140" s="80">
        <f>'Приложение 3'!E142</f>
        <v>0</v>
      </c>
      <c r="E140" s="80">
        <f>'Приложение 3'!F142</f>
        <v>400</v>
      </c>
      <c r="F140" s="65">
        <f>'Приложение 3'!G142</f>
        <v>4223.546</v>
      </c>
      <c r="G140" s="65">
        <f>'Приложение 3'!H142</f>
        <v>0</v>
      </c>
      <c r="H140" s="65">
        <f t="shared" si="2"/>
        <v>0</v>
      </c>
    </row>
    <row r="141" spans="1:8" ht="50.25" customHeight="1" outlineLevel="1">
      <c r="A141" s="48" t="str">
        <f>'Приложение 3'!A143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1" s="80" t="str">
        <f>'Приложение 3'!C143</f>
        <v>0502</v>
      </c>
      <c r="C141" s="80"/>
      <c r="D141" s="80"/>
      <c r="E141" s="80"/>
      <c r="F141" s="65">
        <f>'Приложение 3'!G143</f>
        <v>53.60000000000001</v>
      </c>
      <c r="G141" s="65">
        <f>'Приложение 3'!H143</f>
        <v>18.20268</v>
      </c>
      <c r="H141" s="65">
        <f t="shared" si="2"/>
        <v>33.96022388059701</v>
      </c>
    </row>
    <row r="142" spans="1:8" ht="24" outlineLevel="1">
      <c r="A142" s="48" t="str">
        <f>'Приложение 3'!A144</f>
        <v>Непрограммные расходы органов местного самоуправления Алексеевского муниципального района</v>
      </c>
      <c r="B142" s="80" t="str">
        <f>'Приложение 3'!C144</f>
        <v>0502</v>
      </c>
      <c r="C142" s="80" t="str">
        <f>'Приложение 3'!D144</f>
        <v>99</v>
      </c>
      <c r="D142" s="80">
        <f>'Приложение 3'!E144</f>
        <v>0</v>
      </c>
      <c r="E142" s="80"/>
      <c r="F142" s="65">
        <f>'Приложение 3'!G144</f>
        <v>53.60000000000001</v>
      </c>
      <c r="G142" s="65">
        <f>'Приложение 3'!H144</f>
        <v>18.20268</v>
      </c>
      <c r="H142" s="65">
        <f t="shared" si="2"/>
        <v>33.96022388059701</v>
      </c>
    </row>
    <row r="143" spans="1:8" ht="12.75" outlineLevel="1">
      <c r="A143" s="48" t="str">
        <f>'Приложение 3'!A145</f>
        <v>Иные бюджетные ассигнования</v>
      </c>
      <c r="B143" s="80" t="str">
        <f>'Приложение 3'!C145</f>
        <v>0502</v>
      </c>
      <c r="C143" s="80" t="str">
        <f>'Приложение 3'!D145</f>
        <v>99</v>
      </c>
      <c r="D143" s="80">
        <f>'Приложение 3'!E145</f>
        <v>0</v>
      </c>
      <c r="E143" s="80">
        <f>'Приложение 3'!F145</f>
        <v>800</v>
      </c>
      <c r="F143" s="65">
        <f>'Приложение 3'!G145</f>
        <v>53.60000000000001</v>
      </c>
      <c r="G143" s="65">
        <f>'Приложение 3'!H145</f>
        <v>18.20268</v>
      </c>
      <c r="H143" s="65">
        <f t="shared" si="2"/>
        <v>33.96022388059701</v>
      </c>
    </row>
    <row r="144" spans="1:8" ht="12.75" outlineLevel="1">
      <c r="A144" s="48" t="str">
        <f>'Приложение 3'!A146</f>
        <v>Благоустройство</v>
      </c>
      <c r="B144" s="80" t="str">
        <f>'Приложение 3'!C146</f>
        <v>0503</v>
      </c>
      <c r="C144" s="80"/>
      <c r="D144" s="80"/>
      <c r="E144" s="80"/>
      <c r="F144" s="65">
        <f>'Приложение 3'!G146</f>
        <v>4553.817</v>
      </c>
      <c r="G144" s="65">
        <f>'Приложение 3'!H146</f>
        <v>4553.81699</v>
      </c>
      <c r="H144" s="65">
        <f t="shared" si="2"/>
        <v>99.999999780404</v>
      </c>
    </row>
    <row r="145" spans="1:8" ht="24" outlineLevel="1">
      <c r="A145" s="48" t="str">
        <f>'Приложение 3'!A147</f>
        <v>Муниципальная программа "Комплексное развитие сельских территорий"</v>
      </c>
      <c r="B145" s="80" t="str">
        <f>'Приложение 3'!C147</f>
        <v>0503</v>
      </c>
      <c r="C145" s="80" t="str">
        <f>'Приложение 3'!D147</f>
        <v>03</v>
      </c>
      <c r="D145" s="80">
        <f>'Приложение 3'!E147</f>
        <v>0</v>
      </c>
      <c r="E145" s="80"/>
      <c r="F145" s="65">
        <f>'Приложение 3'!G147</f>
        <v>4553.817</v>
      </c>
      <c r="G145" s="65">
        <f>'Приложение 3'!H147</f>
        <v>4553.81699</v>
      </c>
      <c r="H145" s="65">
        <f t="shared" si="2"/>
        <v>99.999999780404</v>
      </c>
    </row>
    <row r="146" spans="1:8" ht="24" outlineLevel="1">
      <c r="A146" s="48" t="str">
        <f>'Приложение 3'!A148</f>
        <v>Предоставление субсидий бюджетным, автономным учреждениям и иным некоммерческим организациям</v>
      </c>
      <c r="B146" s="80" t="str">
        <f>'Приложение 3'!C148</f>
        <v>0503</v>
      </c>
      <c r="C146" s="80" t="str">
        <f>'Приложение 3'!D148</f>
        <v>03</v>
      </c>
      <c r="D146" s="80">
        <f>'Приложение 3'!E148</f>
        <v>0</v>
      </c>
      <c r="E146" s="80">
        <f>'Приложение 3'!F148</f>
        <v>600</v>
      </c>
      <c r="F146" s="65">
        <f>'Приложение 3'!G148</f>
        <v>4553.817</v>
      </c>
      <c r="G146" s="65">
        <f>'Приложение 3'!H148</f>
        <v>4553.81699</v>
      </c>
      <c r="H146" s="65">
        <f t="shared" si="2"/>
        <v>99.999999780404</v>
      </c>
    </row>
    <row r="147" spans="1:8" ht="12.75" outlineLevel="2">
      <c r="A147" s="48" t="str">
        <f>'Приложение 3'!A149</f>
        <v>Охрана окружающей среды</v>
      </c>
      <c r="B147" s="80" t="str">
        <f>'Приложение 3'!C149</f>
        <v>0600</v>
      </c>
      <c r="C147" s="80">
        <f>'Приложение 3'!D149</f>
        <v>0</v>
      </c>
      <c r="D147" s="80">
        <f>'Приложение 3'!E149</f>
        <v>0</v>
      </c>
      <c r="E147" s="80"/>
      <c r="F147" s="65">
        <f>'Приложение 3'!G149</f>
        <v>20</v>
      </c>
      <c r="G147" s="65">
        <f>'Приложение 3'!H149</f>
        <v>0</v>
      </c>
      <c r="H147" s="65">
        <f t="shared" si="2"/>
        <v>0</v>
      </c>
    </row>
    <row r="148" spans="1:8" ht="24" outlineLevel="5">
      <c r="A148" s="48" t="str">
        <f>'Приложение 3'!A150</f>
        <v>Муниципальная программа "Охрана окружающей среды Алексеевского муниципального района на 2019-2023 годы"</v>
      </c>
      <c r="B148" s="80" t="str">
        <f>'Приложение 3'!C150</f>
        <v>0605</v>
      </c>
      <c r="C148" s="80" t="str">
        <f>'Приложение 3'!D150</f>
        <v>05</v>
      </c>
      <c r="D148" s="80">
        <f>'Приложение 3'!E150</f>
        <v>0</v>
      </c>
      <c r="E148" s="80"/>
      <c r="F148" s="65">
        <f>'Приложение 3'!G150</f>
        <v>20</v>
      </c>
      <c r="G148" s="65">
        <f>'Приложение 3'!H150</f>
        <v>0</v>
      </c>
      <c r="H148" s="65">
        <f t="shared" si="2"/>
        <v>0</v>
      </c>
    </row>
    <row r="149" spans="1:8" ht="24" outlineLevel="5">
      <c r="A149" s="48" t="str">
        <f>'Приложение 3'!A151</f>
        <v>Закупка товаров, работ и услуг для государственных (муниципальных) нужд</v>
      </c>
      <c r="B149" s="80" t="str">
        <f>'Приложение 3'!C151</f>
        <v>0605</v>
      </c>
      <c r="C149" s="80" t="str">
        <f>'Приложение 3'!D151</f>
        <v>05</v>
      </c>
      <c r="D149" s="80">
        <f>'Приложение 3'!E151</f>
        <v>0</v>
      </c>
      <c r="E149" s="80">
        <f>'Приложение 3'!F151</f>
        <v>200</v>
      </c>
      <c r="F149" s="65">
        <f>'Приложение 3'!G151</f>
        <v>20</v>
      </c>
      <c r="G149" s="65">
        <f>'Приложение 3'!H151</f>
        <v>0</v>
      </c>
      <c r="H149" s="65">
        <f t="shared" si="2"/>
        <v>0</v>
      </c>
    </row>
    <row r="150" spans="1:8" ht="24" hidden="1" outlineLevel="5">
      <c r="A150" s="48" t="str">
        <f>'Приложение 3'!A152</f>
        <v>Предоставление субсидий бюджетным, автономным учреждениям и иным некоммерческим организациям</v>
      </c>
      <c r="B150" s="80" t="str">
        <f>'Приложение 3'!C152</f>
        <v>0605</v>
      </c>
      <c r="C150" s="80" t="str">
        <f>'Приложение 3'!D152</f>
        <v>05</v>
      </c>
      <c r="D150" s="80">
        <f>'Приложение 3'!E152</f>
        <v>0</v>
      </c>
      <c r="E150" s="80">
        <f>'Приложение 3'!F152</f>
        <v>600</v>
      </c>
      <c r="F150" s="65">
        <f>'Приложение 3'!G152</f>
        <v>0</v>
      </c>
      <c r="G150" s="65">
        <f>'Приложение 3'!H152</f>
        <v>0</v>
      </c>
      <c r="H150" s="65" t="e">
        <f t="shared" si="2"/>
        <v>#DIV/0!</v>
      </c>
    </row>
    <row r="151" spans="1:8" ht="12.75" outlineLevel="5">
      <c r="A151" s="48" t="str">
        <f>'Приложение 3'!A153</f>
        <v>Образование</v>
      </c>
      <c r="B151" s="80" t="str">
        <f>'Приложение 3'!C153</f>
        <v>0700</v>
      </c>
      <c r="C151" s="80"/>
      <c r="D151" s="80"/>
      <c r="E151" s="80"/>
      <c r="F151" s="65">
        <f>'Приложение 3'!G153</f>
        <v>245237.09920000003</v>
      </c>
      <c r="G151" s="65">
        <f>'Приложение 3'!H153</f>
        <v>46962.67343</v>
      </c>
      <c r="H151" s="65">
        <f t="shared" si="2"/>
        <v>19.149905778203724</v>
      </c>
    </row>
    <row r="152" spans="1:8" ht="12.75" outlineLevel="2">
      <c r="A152" s="48" t="str">
        <f>'Приложение 3'!A154</f>
        <v>Дошкольное образование</v>
      </c>
      <c r="B152" s="80" t="str">
        <f>'Приложение 3'!C154</f>
        <v>0701</v>
      </c>
      <c r="C152" s="80"/>
      <c r="D152" s="80"/>
      <c r="E152" s="80"/>
      <c r="F152" s="65">
        <f>'Приложение 3'!G154</f>
        <v>41863.73287000001</v>
      </c>
      <c r="G152" s="65">
        <f>'Приложение 3'!H154</f>
        <v>6535.529789999999</v>
      </c>
      <c r="H152" s="65">
        <f t="shared" si="2"/>
        <v>15.611435822731966</v>
      </c>
    </row>
    <row r="153" spans="1:8" ht="35.25" customHeight="1" outlineLevel="2">
      <c r="A153" s="48" t="str">
        <f>'Приложение 3'!A155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3" s="80" t="str">
        <f>'Приложение 3'!C155</f>
        <v>0701</v>
      </c>
      <c r="C153" s="80" t="str">
        <f>'Приложение 3'!D155</f>
        <v>02</v>
      </c>
      <c r="D153" s="80">
        <f>'Приложение 3'!E155</f>
        <v>0</v>
      </c>
      <c r="E153" s="80"/>
      <c r="F153" s="65">
        <f>'Приложение 3'!G155</f>
        <v>4150.90387</v>
      </c>
      <c r="G153" s="65">
        <f>'Приложение 3'!H155</f>
        <v>49.86958</v>
      </c>
      <c r="H153" s="65">
        <f t="shared" si="2"/>
        <v>1.2014149583281002</v>
      </c>
    </row>
    <row r="154" spans="1:8" ht="36" outlineLevel="2">
      <c r="A154" s="48" t="str">
        <f>'Приложение 3'!A156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4" s="80" t="str">
        <f>'Приложение 3'!C156</f>
        <v>0701</v>
      </c>
      <c r="C154" s="80" t="str">
        <f>'Приложение 3'!D156</f>
        <v>02</v>
      </c>
      <c r="D154" s="80">
        <f>'Приложение 3'!E156</f>
        <v>3</v>
      </c>
      <c r="E154" s="80"/>
      <c r="F154" s="65">
        <f>'Приложение 3'!G156</f>
        <v>3870.90387</v>
      </c>
      <c r="G154" s="65">
        <f>'Приложение 3'!H156</f>
        <v>49.86958</v>
      </c>
      <c r="H154" s="65">
        <f t="shared" si="2"/>
        <v>1.2883187409146382</v>
      </c>
    </row>
    <row r="155" spans="1:8" ht="21" customHeight="1" outlineLevel="2">
      <c r="A155" s="48" t="str">
        <f>'Приложение 3'!A157</f>
        <v>Капитальные вложения в объекты государственной (муниципальной) собственности</v>
      </c>
      <c r="B155" s="80" t="str">
        <f>'Приложение 3'!C157</f>
        <v>0701</v>
      </c>
      <c r="C155" s="80" t="str">
        <f>'Приложение 3'!D157</f>
        <v>02</v>
      </c>
      <c r="D155" s="80">
        <f>'Приложение 3'!E157</f>
        <v>3</v>
      </c>
      <c r="E155" s="80" t="s">
        <v>286</v>
      </c>
      <c r="F155" s="65">
        <f>'Приложение 3'!G157</f>
        <v>3870.90387</v>
      </c>
      <c r="G155" s="65">
        <f>'Приложение 3'!H157</f>
        <v>49.86958</v>
      </c>
      <c r="H155" s="65">
        <f t="shared" si="2"/>
        <v>1.2883187409146382</v>
      </c>
    </row>
    <row r="156" spans="1:8" ht="24" outlineLevel="2">
      <c r="A156" s="48" t="str">
        <f>'Приложение 3'!A158</f>
        <v>Предоставление субсидий бюджетным, автономным учреждениям и иным некоммерческим организациям</v>
      </c>
      <c r="B156" s="80" t="str">
        <f>'Приложение 3'!C158</f>
        <v>0701</v>
      </c>
      <c r="C156" s="80" t="str">
        <f>'Приложение 3'!D158</f>
        <v>02</v>
      </c>
      <c r="D156" s="80">
        <f>'Приложение 3'!E158</f>
        <v>3</v>
      </c>
      <c r="E156" s="80">
        <f>'Приложение 3'!F158</f>
        <v>600</v>
      </c>
      <c r="F156" s="65">
        <f>'Приложение 3'!G158</f>
        <v>0</v>
      </c>
      <c r="G156" s="65">
        <f>'Приложение 3'!H158</f>
        <v>0</v>
      </c>
      <c r="H156" s="65" t="e">
        <f t="shared" si="2"/>
        <v>#DIV/0!</v>
      </c>
    </row>
    <row r="157" spans="1:8" ht="38.25" customHeight="1" outlineLevel="2">
      <c r="A157" s="48" t="str">
        <f>'Приложение 3'!A159</f>
        <v>Подпрограмма "Энергосбережение и повышение энергетической эффективности Алексеевского муниципального района"</v>
      </c>
      <c r="B157" s="80" t="str">
        <f>'Приложение 3'!C159</f>
        <v>0701</v>
      </c>
      <c r="C157" s="80" t="str">
        <f>'Приложение 3'!D159</f>
        <v>02</v>
      </c>
      <c r="D157" s="80">
        <f>'Приложение 3'!E159</f>
        <v>4</v>
      </c>
      <c r="E157" s="80"/>
      <c r="F157" s="65">
        <f>'Приложение 3'!G159</f>
        <v>280</v>
      </c>
      <c r="G157" s="65">
        <f>'Приложение 3'!H159</f>
        <v>0</v>
      </c>
      <c r="H157" s="65">
        <f t="shared" si="2"/>
        <v>0</v>
      </c>
    </row>
    <row r="158" spans="1:8" ht="24" outlineLevel="2">
      <c r="A158" s="48" t="str">
        <f>'Приложение 3'!A160</f>
        <v>Предоставление субсидий бюджетным, автономным учреждениям и иным некоммерческим организациям</v>
      </c>
      <c r="B158" s="80" t="str">
        <f>'Приложение 3'!C160</f>
        <v>0701</v>
      </c>
      <c r="C158" s="80" t="str">
        <f>'Приложение 3'!D160</f>
        <v>02</v>
      </c>
      <c r="D158" s="80">
        <f>'Приложение 3'!E160</f>
        <v>4</v>
      </c>
      <c r="E158" s="80">
        <f>'Приложение 3'!F160</f>
        <v>600</v>
      </c>
      <c r="F158" s="65">
        <f>'Приложение 3'!G160</f>
        <v>280</v>
      </c>
      <c r="G158" s="65">
        <f>'Приложение 3'!H160</f>
        <v>0</v>
      </c>
      <c r="H158" s="65">
        <f t="shared" si="2"/>
        <v>0</v>
      </c>
    </row>
    <row r="159" spans="1:8" ht="96" outlineLevel="2">
      <c r="A159" s="48" t="str">
        <f>'Приложение 3'!A161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9" s="80" t="str">
        <f>'Приложение 3'!C161</f>
        <v>0701</v>
      </c>
      <c r="C159" s="80" t="str">
        <f>'Приложение 3'!D161</f>
        <v>22</v>
      </c>
      <c r="D159" s="80">
        <f>'Приложение 3'!E161</f>
        <v>0</v>
      </c>
      <c r="E159" s="80"/>
      <c r="F159" s="65">
        <f>'Приложение 3'!G161</f>
        <v>136.829</v>
      </c>
      <c r="G159" s="65">
        <f>'Приложение 3'!H161</f>
        <v>0</v>
      </c>
      <c r="H159" s="65">
        <f t="shared" si="2"/>
        <v>0</v>
      </c>
    </row>
    <row r="160" spans="1:8" ht="24" outlineLevel="2">
      <c r="A160" s="48" t="str">
        <f>'Приложение 3'!A162</f>
        <v>Предоставление субсидий бюджетным, автономным учреждениям и иным некоммерческим организациям</v>
      </c>
      <c r="B160" s="80" t="str">
        <f>'Приложение 3'!C162</f>
        <v>0701</v>
      </c>
      <c r="C160" s="80" t="str">
        <f>'Приложение 3'!D162</f>
        <v>22</v>
      </c>
      <c r="D160" s="80">
        <f>'Приложение 3'!E162</f>
        <v>0</v>
      </c>
      <c r="E160" s="80">
        <f>'Приложение 3'!F162</f>
        <v>600</v>
      </c>
      <c r="F160" s="65">
        <f>'Приложение 3'!G162</f>
        <v>136.829</v>
      </c>
      <c r="G160" s="65">
        <f>'Приложение 3'!H162</f>
        <v>0</v>
      </c>
      <c r="H160" s="65">
        <f t="shared" si="2"/>
        <v>0</v>
      </c>
    </row>
    <row r="161" spans="1:8" ht="36" outlineLevel="2">
      <c r="A161" s="48" t="str">
        <f>'Приложение 3'!A163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1" s="80" t="str">
        <f>'Приложение 3'!C163</f>
        <v>0701</v>
      </c>
      <c r="C161" s="80" t="str">
        <f>'Приложение 3'!D163</f>
        <v>52</v>
      </c>
      <c r="D161" s="80">
        <f>'Приложение 3'!E163</f>
        <v>0</v>
      </c>
      <c r="E161" s="80"/>
      <c r="F161" s="65">
        <f>'Приложение 3'!G163</f>
        <v>25343</v>
      </c>
      <c r="G161" s="65">
        <f>'Приложение 3'!H163</f>
        <v>4382.5138799999995</v>
      </c>
      <c r="H161" s="65">
        <f t="shared" si="2"/>
        <v>17.292798326954188</v>
      </c>
    </row>
    <row r="162" spans="1:8" ht="24" outlineLevel="2">
      <c r="A162" s="48" t="str">
        <f>'Приложение 3'!A164</f>
        <v>Предоставление субсидий бюджетным, автономным учреждениям и иным некоммерческим организациям</v>
      </c>
      <c r="B162" s="80" t="str">
        <f>'Приложение 3'!C164</f>
        <v>0701</v>
      </c>
      <c r="C162" s="80" t="str">
        <f>'Приложение 3'!D164</f>
        <v>52</v>
      </c>
      <c r="D162" s="80">
        <f>'Приложение 3'!E164</f>
        <v>0</v>
      </c>
      <c r="E162" s="80">
        <f>'Приложение 3'!F164</f>
        <v>600</v>
      </c>
      <c r="F162" s="65">
        <f>'Приложение 3'!G164</f>
        <v>10192.4</v>
      </c>
      <c r="G162" s="65">
        <f>'Приложение 3'!H164</f>
        <v>1628.42664</v>
      </c>
      <c r="H162" s="65">
        <f t="shared" si="2"/>
        <v>15.976871394372278</v>
      </c>
    </row>
    <row r="163" spans="1:8" ht="36" outlineLevel="2">
      <c r="A163" s="48" t="str">
        <f>'Приложение 3'!A165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3" s="80" t="str">
        <f>'Приложение 3'!C165</f>
        <v>0701</v>
      </c>
      <c r="C163" s="80" t="str">
        <f>'Приложение 3'!D165</f>
        <v>52</v>
      </c>
      <c r="D163" s="80">
        <f>'Приложение 3'!E165</f>
        <v>0</v>
      </c>
      <c r="E163" s="80">
        <f>'Приложение 3'!F165</f>
        <v>600</v>
      </c>
      <c r="F163" s="65">
        <f>'Приложение 3'!G165</f>
        <v>15126.5</v>
      </c>
      <c r="G163" s="65">
        <f>'Приложение 3'!H165</f>
        <v>2754.08724</v>
      </c>
      <c r="H163" s="65">
        <f t="shared" si="2"/>
        <v>18.207035599775228</v>
      </c>
    </row>
    <row r="164" spans="1:8" ht="46.5" customHeight="1" hidden="1" outlineLevel="2">
      <c r="A164" s="48" t="str">
        <f>'Приложение 3'!A166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4" s="80" t="str">
        <f>'Приложение 3'!C166</f>
        <v>0701</v>
      </c>
      <c r="C164" s="80" t="str">
        <f>'Приложение 3'!D166</f>
        <v>52</v>
      </c>
      <c r="D164" s="80">
        <f>'Приложение 3'!E166</f>
        <v>0</v>
      </c>
      <c r="E164" s="80">
        <f>'Приложение 3'!F166</f>
        <v>600</v>
      </c>
      <c r="F164" s="65">
        <f>'Приложение 3'!G166</f>
        <v>0</v>
      </c>
      <c r="G164" s="65">
        <f>'Приложение 3'!H166</f>
        <v>0</v>
      </c>
      <c r="H164" s="65" t="e">
        <f t="shared" si="2"/>
        <v>#DIV/0!</v>
      </c>
    </row>
    <row r="165" spans="1:8" ht="23.25" customHeight="1" outlineLevel="2">
      <c r="A165" s="48" t="str">
        <f>'Приложение 3'!A167</f>
        <v>За счет средств на расходы на осуществление социальных гарантий молодым специалистам</v>
      </c>
      <c r="B165" s="80" t="str">
        <f>'Приложение 3'!C167</f>
        <v>0701</v>
      </c>
      <c r="C165" s="80" t="str">
        <f>'Приложение 3'!D167</f>
        <v>52</v>
      </c>
      <c r="D165" s="80">
        <f>'Приложение 3'!E167</f>
        <v>0</v>
      </c>
      <c r="E165" s="80">
        <f>'Приложение 3'!F167</f>
        <v>600</v>
      </c>
      <c r="F165" s="65">
        <f>'Приложение 3'!G167</f>
        <v>24.1</v>
      </c>
      <c r="G165" s="65">
        <f>'Приложение 3'!H167</f>
        <v>0</v>
      </c>
      <c r="H165" s="65">
        <f t="shared" si="2"/>
        <v>0</v>
      </c>
    </row>
    <row r="166" spans="1:8" ht="108" hidden="1" outlineLevel="2">
      <c r="A166" s="48" t="str">
        <f>'Приложение 3'!A168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6" s="80" t="str">
        <f>'Приложение 3'!C168</f>
        <v>0701</v>
      </c>
      <c r="C166" s="80" t="str">
        <f>'Приложение 3'!D168</f>
        <v>52</v>
      </c>
      <c r="D166" s="80">
        <f>'Приложение 3'!E168</f>
        <v>0</v>
      </c>
      <c r="E166" s="80">
        <f>'Приложение 3'!F168</f>
        <v>600</v>
      </c>
      <c r="F166" s="65">
        <f>'Приложение 3'!G168</f>
        <v>0</v>
      </c>
      <c r="G166" s="65">
        <f>'Приложение 3'!H168</f>
        <v>0</v>
      </c>
      <c r="H166" s="65" t="e">
        <f t="shared" si="2"/>
        <v>#DIV/0!</v>
      </c>
    </row>
    <row r="167" spans="1:8" ht="36" outlineLevel="2">
      <c r="A167" s="48" t="str">
        <f>'Приложение 3'!A169</f>
        <v>Ведомственная целевая программа "Развитие образования детей на территории Алексеевского муниципального района на 2020-2022 годы"</v>
      </c>
      <c r="B167" s="80" t="str">
        <f>'Приложение 3'!C169</f>
        <v>0701</v>
      </c>
      <c r="C167" s="80" t="str">
        <f>'Приложение 3'!D169</f>
        <v>53</v>
      </c>
      <c r="D167" s="80">
        <f>'Приложение 3'!E169</f>
        <v>0</v>
      </c>
      <c r="E167" s="80"/>
      <c r="F167" s="65">
        <f>'Приложение 3'!G169</f>
        <v>12233</v>
      </c>
      <c r="G167" s="65">
        <f>'Приложение 3'!H169</f>
        <v>2103.14633</v>
      </c>
      <c r="H167" s="65">
        <f t="shared" si="2"/>
        <v>17.19240031063517</v>
      </c>
    </row>
    <row r="168" spans="1:8" ht="12.75" outlineLevel="2">
      <c r="A168" s="48" t="str">
        <f>'Приложение 3'!A170</f>
        <v>Подпрограмма "Развитие дошкольного образования детей"</v>
      </c>
      <c r="B168" s="80" t="str">
        <f>'Приложение 3'!C170</f>
        <v>0701</v>
      </c>
      <c r="C168" s="80" t="str">
        <f>'Приложение 3'!D170</f>
        <v>53</v>
      </c>
      <c r="D168" s="80">
        <f>'Приложение 3'!E170</f>
        <v>1</v>
      </c>
      <c r="E168" s="80">
        <f>'Приложение 3'!F170</f>
        <v>0</v>
      </c>
      <c r="F168" s="65">
        <f>'Приложение 3'!G170</f>
        <v>12233</v>
      </c>
      <c r="G168" s="65">
        <f>'Приложение 3'!H170</f>
        <v>2103.14633</v>
      </c>
      <c r="H168" s="65">
        <f t="shared" si="2"/>
        <v>17.19240031063517</v>
      </c>
    </row>
    <row r="169" spans="1:8" ht="74.25" customHeight="1" outlineLevel="2">
      <c r="A169" s="48" t="str">
        <f>'Приложение 3'!A171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9" s="80" t="str">
        <f>'Приложение 3'!C171</f>
        <v>0701</v>
      </c>
      <c r="C169" s="80" t="str">
        <f>'Приложение 3'!D171</f>
        <v>53</v>
      </c>
      <c r="D169" s="80">
        <f>'Приложение 3'!E171</f>
        <v>1</v>
      </c>
      <c r="E169" s="80">
        <f>'Приложение 3'!F171</f>
        <v>600</v>
      </c>
      <c r="F169" s="65">
        <f>'Приложение 3'!G171</f>
        <v>9192</v>
      </c>
      <c r="G169" s="65">
        <f>'Приложение 3'!H171</f>
        <v>1623.42145</v>
      </c>
      <c r="H169" s="65">
        <f t="shared" si="2"/>
        <v>17.661242928633595</v>
      </c>
    </row>
    <row r="170" spans="1:8" ht="51" customHeight="1" hidden="1" outlineLevel="2">
      <c r="A170" s="48" t="str">
        <f>'Приложение 3'!A172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0" s="80" t="str">
        <f>'Приложение 3'!C172</f>
        <v>0701</v>
      </c>
      <c r="C170" s="80" t="str">
        <f>'Приложение 3'!D172</f>
        <v>53</v>
      </c>
      <c r="D170" s="80">
        <f>'Приложение 3'!E172</f>
        <v>1</v>
      </c>
      <c r="E170" s="80">
        <f>'Приложение 3'!F172</f>
        <v>600</v>
      </c>
      <c r="F170" s="65">
        <f>'Приложение 3'!G172</f>
        <v>0</v>
      </c>
      <c r="G170" s="65">
        <f>'Приложение 3'!H172</f>
        <v>0</v>
      </c>
      <c r="H170" s="65" t="e">
        <f t="shared" si="2"/>
        <v>#DIV/0!</v>
      </c>
    </row>
    <row r="171" spans="1:8" ht="27.75" customHeight="1" outlineLevel="2">
      <c r="A171" s="48" t="str">
        <f>'Приложение 3'!A173</f>
        <v>Предоставление субсидий бюджетным, автономным учреждениям и иным некоммерческим организациям</v>
      </c>
      <c r="B171" s="80" t="str">
        <f>'Приложение 3'!C173</f>
        <v>0701</v>
      </c>
      <c r="C171" s="80" t="str">
        <f>'Приложение 3'!D173</f>
        <v>53</v>
      </c>
      <c r="D171" s="80">
        <f>'Приложение 3'!E173</f>
        <v>1</v>
      </c>
      <c r="E171" s="80">
        <f>'Приложение 3'!F173</f>
        <v>600</v>
      </c>
      <c r="F171" s="65">
        <f>'Приложение 3'!G173</f>
        <v>3041</v>
      </c>
      <c r="G171" s="65">
        <f>'Приложение 3'!H173</f>
        <v>479.72488</v>
      </c>
      <c r="H171" s="65">
        <f t="shared" si="2"/>
        <v>15.775234462347912</v>
      </c>
    </row>
    <row r="172" spans="1:8" ht="71.25" customHeight="1" hidden="1" outlineLevel="2">
      <c r="A172" s="48" t="str">
        <f>'Приложение 3'!A174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2" s="80" t="str">
        <f>'Приложение 3'!C174</f>
        <v>0701</v>
      </c>
      <c r="C172" s="80" t="str">
        <f>'Приложение 3'!D174</f>
        <v>53</v>
      </c>
      <c r="D172" s="80">
        <f>'Приложение 3'!E174</f>
        <v>0</v>
      </c>
      <c r="E172" s="80">
        <f>'Приложение 3'!F174</f>
        <v>600</v>
      </c>
      <c r="F172" s="65">
        <f>'Приложение 3'!G174</f>
        <v>0</v>
      </c>
      <c r="G172" s="65">
        <f>'Приложение 3'!H174</f>
        <v>0</v>
      </c>
      <c r="H172" s="65" t="e">
        <f t="shared" si="2"/>
        <v>#DIV/0!</v>
      </c>
    </row>
    <row r="173" spans="1:8" ht="7.5" customHeight="1" hidden="1" outlineLevel="2">
      <c r="A173" s="48" t="str">
        <f>'Приложение 3'!A175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80" t="str">
        <f>'Приложение 3'!C175</f>
        <v>0701</v>
      </c>
      <c r="C173" s="80" t="str">
        <f>'Приложение 3'!D175</f>
        <v>53</v>
      </c>
      <c r="D173" s="80">
        <f>'Приложение 3'!E175</f>
        <v>0</v>
      </c>
      <c r="E173" s="80">
        <f>'Приложение 3'!F175</f>
        <v>600</v>
      </c>
      <c r="F173" s="65">
        <f>'Приложение 3'!G175</f>
        <v>0</v>
      </c>
      <c r="G173" s="65">
        <f>'Приложение 3'!H175</f>
        <v>0</v>
      </c>
      <c r="H173" s="65" t="e">
        <f t="shared" si="2"/>
        <v>#DIV/0!</v>
      </c>
    </row>
    <row r="174" spans="1:8" ht="12.75" outlineLevel="5">
      <c r="A174" s="48" t="str">
        <f>'Приложение 3'!A176</f>
        <v>Общее образование</v>
      </c>
      <c r="B174" s="80" t="str">
        <f>'Приложение 3'!C176</f>
        <v>0702</v>
      </c>
      <c r="C174" s="80"/>
      <c r="D174" s="80"/>
      <c r="E174" s="80"/>
      <c r="F174" s="65">
        <f>'Приложение 3'!G176</f>
        <v>185873.47733000002</v>
      </c>
      <c r="G174" s="65">
        <f>'Приложение 3'!H176</f>
        <v>36819.04453</v>
      </c>
      <c r="H174" s="65">
        <f t="shared" si="2"/>
        <v>19.808659664031257</v>
      </c>
    </row>
    <row r="175" spans="1:8" ht="24" outlineLevel="5">
      <c r="A175" s="48" t="str">
        <f>'Приложение 3'!A177</f>
        <v>Школы-детские сады, школы начальные, неполные средние и средние</v>
      </c>
      <c r="B175" s="80" t="str">
        <f>'Приложение 3'!C177</f>
        <v>0702</v>
      </c>
      <c r="C175" s="80"/>
      <c r="D175" s="80"/>
      <c r="E175" s="80"/>
      <c r="F175" s="65">
        <f>'Приложение 3'!G177</f>
        <v>185873.47733000002</v>
      </c>
      <c r="G175" s="65">
        <f>'Приложение 3'!H177</f>
        <v>36819.04453</v>
      </c>
      <c r="H175" s="65">
        <f t="shared" si="2"/>
        <v>19.808659664031257</v>
      </c>
    </row>
    <row r="176" spans="1:8" ht="37.5" customHeight="1" outlineLevel="5">
      <c r="A176" s="48" t="str">
        <f>'Приложение 3'!A178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6" s="80" t="str">
        <f>'Приложение 3'!C178</f>
        <v>0702</v>
      </c>
      <c r="C176" s="80" t="str">
        <f>'Приложение 3'!D178</f>
        <v>02</v>
      </c>
      <c r="D176" s="80">
        <f>'Приложение 3'!E178</f>
        <v>0</v>
      </c>
      <c r="E176" s="80"/>
      <c r="F176" s="65">
        <f>'Приложение 3'!G178</f>
        <v>9536.91569</v>
      </c>
      <c r="G176" s="65">
        <f>'Приложение 3'!H178</f>
        <v>455.244</v>
      </c>
      <c r="H176" s="65">
        <f t="shared" si="2"/>
        <v>4.773492969821986</v>
      </c>
    </row>
    <row r="177" spans="1:8" ht="36" outlineLevel="5">
      <c r="A177" s="48" t="str">
        <f>'Приложение 3'!A179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7" s="80" t="str">
        <f>'Приложение 3'!C179</f>
        <v>0702</v>
      </c>
      <c r="C177" s="80" t="str">
        <f>'Приложение 3'!D179</f>
        <v>02</v>
      </c>
      <c r="D177" s="80">
        <f>'Приложение 3'!E179</f>
        <v>3</v>
      </c>
      <c r="E177" s="80"/>
      <c r="F177" s="65">
        <f>'Приложение 3'!G179</f>
        <v>7887.04511</v>
      </c>
      <c r="G177" s="65">
        <f>'Приложение 3'!H179</f>
        <v>455.244</v>
      </c>
      <c r="H177" s="65">
        <f t="shared" si="2"/>
        <v>5.772047625577737</v>
      </c>
    </row>
    <row r="178" spans="1:8" ht="24" outlineLevel="5">
      <c r="A178" s="48" t="str">
        <f>'Приложение 3'!A180</f>
        <v>Закупка товаров, работ и услуг для государственных (муниципальных) нужд</v>
      </c>
      <c r="B178" s="80" t="str">
        <f>'Приложение 3'!C180</f>
        <v>0702</v>
      </c>
      <c r="C178" s="80" t="str">
        <f>'Приложение 3'!D180</f>
        <v>02</v>
      </c>
      <c r="D178" s="80">
        <f>'Приложение 3'!E180</f>
        <v>3</v>
      </c>
      <c r="E178" s="80" t="s">
        <v>154</v>
      </c>
      <c r="F178" s="65">
        <f>'Приложение 3'!G180</f>
        <v>0</v>
      </c>
      <c r="G178" s="65">
        <f>'Приложение 3'!H180</f>
        <v>0</v>
      </c>
      <c r="H178" s="65" t="e">
        <f t="shared" si="2"/>
        <v>#DIV/0!</v>
      </c>
    </row>
    <row r="179" spans="1:8" ht="24" outlineLevel="5">
      <c r="A179" s="48" t="str">
        <f>'Приложение 3'!A181</f>
        <v>Предоставление субсидий бюджетным, автономным учреждениям и иным некоммерческим организациям</v>
      </c>
      <c r="B179" s="80" t="str">
        <f>'Приложение 3'!C181</f>
        <v>0702</v>
      </c>
      <c r="C179" s="80" t="str">
        <f>'Приложение 3'!D181</f>
        <v>02</v>
      </c>
      <c r="D179" s="80">
        <f>'Приложение 3'!E181</f>
        <v>3</v>
      </c>
      <c r="E179" s="80">
        <f>'Приложение 3'!F181</f>
        <v>600</v>
      </c>
      <c r="F179" s="65">
        <f>'Приложение 3'!G181</f>
        <v>7887.04511</v>
      </c>
      <c r="G179" s="65">
        <f>'Приложение 3'!H181</f>
        <v>455.244</v>
      </c>
      <c r="H179" s="65">
        <f t="shared" si="2"/>
        <v>5.772047625577737</v>
      </c>
    </row>
    <row r="180" spans="1:8" ht="36.75" customHeight="1" outlineLevel="5">
      <c r="A180" s="48" t="str">
        <f>'Приложение 3'!A182</f>
        <v>Подпрограмма "Энергосбережение и повышение энергетической эффективности Алексеевского муниципального района"</v>
      </c>
      <c r="B180" s="80" t="str">
        <f>'Приложение 3'!C182</f>
        <v>0702</v>
      </c>
      <c r="C180" s="80" t="str">
        <f>'Приложение 3'!D182</f>
        <v>02</v>
      </c>
      <c r="D180" s="80">
        <f>'Приложение 3'!E182</f>
        <v>4</v>
      </c>
      <c r="E180" s="80"/>
      <c r="F180" s="65">
        <f>'Приложение 3'!G182</f>
        <v>1649.87058</v>
      </c>
      <c r="G180" s="65">
        <f>'Приложение 3'!H182</f>
        <v>0</v>
      </c>
      <c r="H180" s="65">
        <f t="shared" si="2"/>
        <v>0</v>
      </c>
    </row>
    <row r="181" spans="1:8" ht="24" outlineLevel="5">
      <c r="A181" s="48" t="str">
        <f>'Приложение 3'!A183</f>
        <v>Закупка товаров, работ и услуг для государственных (муниципальных) нужд</v>
      </c>
      <c r="B181" s="80" t="str">
        <f>'Приложение 3'!C183</f>
        <v>0702</v>
      </c>
      <c r="C181" s="80" t="str">
        <f>'Приложение 3'!D183</f>
        <v>02</v>
      </c>
      <c r="D181" s="80">
        <f>'Приложение 3'!E183</f>
        <v>4</v>
      </c>
      <c r="E181" s="80">
        <f>'Приложение 3'!F183</f>
        <v>200</v>
      </c>
      <c r="F181" s="65">
        <f>'Приложение 3'!G183</f>
        <v>65.239</v>
      </c>
      <c r="G181" s="65">
        <f>'Приложение 3'!H183</f>
        <v>0</v>
      </c>
      <c r="H181" s="65">
        <f t="shared" si="2"/>
        <v>0</v>
      </c>
    </row>
    <row r="182" spans="1:8" ht="24" outlineLevel="5">
      <c r="A182" s="48" t="str">
        <f>'Приложение 3'!A184</f>
        <v>Предоставление субсидий бюджетным, автономным учреждениям и иным некоммерческим организациям</v>
      </c>
      <c r="B182" s="80" t="str">
        <f>'Приложение 3'!C184</f>
        <v>0702</v>
      </c>
      <c r="C182" s="80" t="str">
        <f>'Приложение 3'!D184</f>
        <v>02</v>
      </c>
      <c r="D182" s="80">
        <f>'Приложение 3'!E184</f>
        <v>4</v>
      </c>
      <c r="E182" s="80">
        <f>'Приложение 3'!F184</f>
        <v>600</v>
      </c>
      <c r="F182" s="65">
        <f>'Приложение 3'!G184</f>
        <v>532</v>
      </c>
      <c r="G182" s="65">
        <f>'Приложение 3'!H184</f>
        <v>0</v>
      </c>
      <c r="H182" s="65">
        <f t="shared" si="2"/>
        <v>0</v>
      </c>
    </row>
    <row r="183" spans="1:8" ht="60" outlineLevel="5">
      <c r="A183" s="48" t="str">
        <f>'Приложение 3'!A185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3" s="80" t="str">
        <f>'Приложение 3'!C185</f>
        <v>0702</v>
      </c>
      <c r="C183" s="80" t="str">
        <f>'Приложение 3'!D185</f>
        <v>02</v>
      </c>
      <c r="D183" s="80">
        <f>'Приложение 3'!E185</f>
        <v>4</v>
      </c>
      <c r="E183" s="80">
        <f>'Приложение 3'!F185</f>
        <v>600</v>
      </c>
      <c r="F183" s="65">
        <f>'Приложение 3'!G185</f>
        <v>1052.63158</v>
      </c>
      <c r="G183" s="65">
        <f>'Приложение 3'!H185</f>
        <v>0</v>
      </c>
      <c r="H183" s="65">
        <f t="shared" si="2"/>
        <v>0</v>
      </c>
    </row>
    <row r="184" spans="1:8" ht="36" hidden="1" outlineLevel="5">
      <c r="A184" s="48" t="str">
        <f>'Приложение 3'!A186</f>
        <v>Муниципальная программа "Развитие физической культуры и спорта в Алексеевском муниципальном районе на 2019-2023 годы"</v>
      </c>
      <c r="B184" s="80" t="str">
        <f>'Приложение 3'!C186</f>
        <v>0702</v>
      </c>
      <c r="C184" s="80" t="str">
        <f>'Приложение 3'!D186</f>
        <v>17</v>
      </c>
      <c r="D184" s="80">
        <f>'Приложение 3'!E186</f>
        <v>0</v>
      </c>
      <c r="E184" s="80"/>
      <c r="F184" s="65">
        <f>'Приложение 3'!G186</f>
        <v>0</v>
      </c>
      <c r="G184" s="65">
        <f>'Приложение 3'!H186</f>
        <v>0</v>
      </c>
      <c r="H184" s="65" t="e">
        <f t="shared" si="2"/>
        <v>#DIV/0!</v>
      </c>
    </row>
    <row r="185" spans="1:8" ht="84" hidden="1" outlineLevel="5">
      <c r="A185" s="48" t="str">
        <f>'Приложение 3'!A187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0" t="str">
        <f>'Приложение 3'!C187</f>
        <v>0702</v>
      </c>
      <c r="C185" s="80" t="str">
        <f>'Приложение 3'!D187</f>
        <v>17</v>
      </c>
      <c r="D185" s="80">
        <f>'Приложение 3'!E187</f>
        <v>0</v>
      </c>
      <c r="E185" s="80">
        <f>'Приложение 3'!F187</f>
        <v>600</v>
      </c>
      <c r="F185" s="65">
        <f>'Приложение 3'!G187</f>
        <v>0</v>
      </c>
      <c r="G185" s="65">
        <f>'Приложение 3'!H187</f>
        <v>0</v>
      </c>
      <c r="H185" s="65" t="e">
        <f t="shared" si="2"/>
        <v>#DIV/0!</v>
      </c>
    </row>
    <row r="186" spans="1:8" ht="84" hidden="1" outlineLevel="5">
      <c r="A186" s="48" t="str">
        <f>'Приложение 3'!A188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6" s="80" t="str">
        <f>'Приложение 3'!C188</f>
        <v>0702</v>
      </c>
      <c r="C186" s="80" t="str">
        <f>'Приложение 3'!D188</f>
        <v>17</v>
      </c>
      <c r="D186" s="80">
        <f>'Приложение 3'!E188</f>
        <v>0</v>
      </c>
      <c r="E186" s="80">
        <f>'Приложение 3'!F188</f>
        <v>600</v>
      </c>
      <c r="F186" s="65">
        <f>'Приложение 3'!G188</f>
        <v>0</v>
      </c>
      <c r="G186" s="65">
        <f>'Приложение 3'!H188</f>
        <v>0</v>
      </c>
      <c r="H186" s="65" t="e">
        <f t="shared" si="2"/>
        <v>#DIV/0!</v>
      </c>
    </row>
    <row r="187" spans="1:8" ht="96" outlineLevel="5">
      <c r="A187" s="48" t="str">
        <f>'Приложение 3'!A189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7" s="80" t="str">
        <f>'Приложение 3'!C189</f>
        <v>0702</v>
      </c>
      <c r="C187" s="80" t="str">
        <f>'Приложение 3'!D189</f>
        <v>22</v>
      </c>
      <c r="D187" s="80">
        <f>'Приложение 3'!E189</f>
        <v>0</v>
      </c>
      <c r="E187" s="80"/>
      <c r="F187" s="65">
        <f>'Приложение 3'!G189</f>
        <v>898.282</v>
      </c>
      <c r="G187" s="65">
        <f>'Приложение 3'!H189</f>
        <v>0</v>
      </c>
      <c r="H187" s="65">
        <f t="shared" si="2"/>
        <v>0</v>
      </c>
    </row>
    <row r="188" spans="1:8" ht="24" outlineLevel="5">
      <c r="A188" s="48" t="str">
        <f>'Приложение 3'!A190</f>
        <v>Закупка товаров, работ и услуг для государственных (муниципальных) нужд</v>
      </c>
      <c r="B188" s="80" t="str">
        <f>'Приложение 3'!C190</f>
        <v>0702</v>
      </c>
      <c r="C188" s="80" t="str">
        <f>'Приложение 3'!D190</f>
        <v>22</v>
      </c>
      <c r="D188" s="80">
        <f>'Приложение 3'!E190</f>
        <v>0</v>
      </c>
      <c r="E188" s="80">
        <f>'Приложение 3'!F190</f>
        <v>200</v>
      </c>
      <c r="F188" s="65">
        <f>'Приложение 3'!G190</f>
        <v>55.08</v>
      </c>
      <c r="G188" s="65">
        <f>'Приложение 3'!H190</f>
        <v>0</v>
      </c>
      <c r="H188" s="65">
        <f t="shared" si="2"/>
        <v>0</v>
      </c>
    </row>
    <row r="189" spans="1:8" ht="24" outlineLevel="5">
      <c r="A189" s="48" t="str">
        <f>'Приложение 3'!A191</f>
        <v>Предоставление субсидий бюджетным, автономным учреждениям и иным некоммерческим организациям</v>
      </c>
      <c r="B189" s="80" t="str">
        <f>'Приложение 3'!C191</f>
        <v>0702</v>
      </c>
      <c r="C189" s="80" t="str">
        <f>'Приложение 3'!D191</f>
        <v>22</v>
      </c>
      <c r="D189" s="80">
        <f>'Приложение 3'!E191</f>
        <v>0</v>
      </c>
      <c r="E189" s="80">
        <f>'Приложение 3'!F191</f>
        <v>600</v>
      </c>
      <c r="F189" s="65">
        <f>'Приложение 3'!G191</f>
        <v>843.202</v>
      </c>
      <c r="G189" s="65">
        <f>'Приложение 3'!H191</f>
        <v>0</v>
      </c>
      <c r="H189" s="65">
        <f t="shared" si="2"/>
        <v>0</v>
      </c>
    </row>
    <row r="190" spans="1:8" ht="36" outlineLevel="5">
      <c r="A190" s="48" t="str">
        <f>'Приложение 3'!A192</f>
        <v>Ведомственная целевая программа "Развитие образования детей на территории Алексеевского муниципального района на 2020-2022 годы"</v>
      </c>
      <c r="B190" s="80" t="str">
        <f>'Приложение 3'!C192</f>
        <v>0702</v>
      </c>
      <c r="C190" s="80" t="str">
        <f>'Приложение 3'!D192</f>
        <v>53</v>
      </c>
      <c r="D190" s="80">
        <f>'Приложение 3'!E192</f>
        <v>0</v>
      </c>
      <c r="E190" s="80"/>
      <c r="F190" s="65">
        <f>'Приложение 3'!G192</f>
        <v>175438.27964000002</v>
      </c>
      <c r="G190" s="65">
        <f>'Приложение 3'!H192</f>
        <v>36363.80053</v>
      </c>
      <c r="H190" s="65">
        <f t="shared" si="2"/>
        <v>20.727403736868972</v>
      </c>
    </row>
    <row r="191" spans="1:8" ht="12.75" outlineLevel="5">
      <c r="A191" s="48" t="str">
        <f>'Приложение 3'!A193</f>
        <v>Подпрограмма "Развитие общего образования детей"</v>
      </c>
      <c r="B191" s="80" t="str">
        <f>'Приложение 3'!C193</f>
        <v>0702</v>
      </c>
      <c r="C191" s="80" t="str">
        <f>'Приложение 3'!D193</f>
        <v>53</v>
      </c>
      <c r="D191" s="80">
        <f>'Приложение 3'!E193</f>
        <v>2</v>
      </c>
      <c r="E191" s="80" t="s">
        <v>9</v>
      </c>
      <c r="F191" s="65">
        <f>'Приложение 3'!G193</f>
        <v>175438.27964000002</v>
      </c>
      <c r="G191" s="65">
        <f>'Приложение 3'!H193</f>
        <v>36363.80053</v>
      </c>
      <c r="H191" s="65">
        <f t="shared" si="2"/>
        <v>20.727403736868972</v>
      </c>
    </row>
    <row r="192" spans="1:8" ht="12.75" outlineLevel="5">
      <c r="A192" s="48" t="str">
        <f>'Приложение 3'!A194</f>
        <v>За счет средств бюджета муниципального района</v>
      </c>
      <c r="B192" s="80" t="str">
        <f>'Приложение 3'!C194</f>
        <v>0702</v>
      </c>
      <c r="C192" s="80" t="str">
        <f>'Приложение 3'!D194</f>
        <v>53</v>
      </c>
      <c r="D192" s="80">
        <f>'Приложение 3'!E194</f>
        <v>2</v>
      </c>
      <c r="E192" s="80" t="s">
        <v>9</v>
      </c>
      <c r="F192" s="65">
        <f>'Приложение 3'!G194</f>
        <v>23485.735689999998</v>
      </c>
      <c r="G192" s="65">
        <f>'Приложение 3'!H194</f>
        <v>6544.34062</v>
      </c>
      <c r="H192" s="65">
        <f t="shared" si="2"/>
        <v>27.865171891492068</v>
      </c>
    </row>
    <row r="193" spans="1:8" ht="48" outlineLevel="5">
      <c r="A193" s="48" t="str">
        <f>'Приложение 3'!A195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3" s="80" t="str">
        <f>'Приложение 3'!C195</f>
        <v>0702</v>
      </c>
      <c r="C193" s="80" t="str">
        <f>'Приложение 3'!D195</f>
        <v>53</v>
      </c>
      <c r="D193" s="80">
        <f>'Приложение 3'!E195</f>
        <v>2</v>
      </c>
      <c r="E193" s="80">
        <f>'Приложение 3'!F195</f>
        <v>100</v>
      </c>
      <c r="F193" s="65">
        <f>'Приложение 3'!G195</f>
        <v>327.1</v>
      </c>
      <c r="G193" s="65">
        <f>'Приложение 3'!H195</f>
        <v>107.5835</v>
      </c>
      <c r="H193" s="65">
        <f t="shared" si="2"/>
        <v>32.8900947722409</v>
      </c>
    </row>
    <row r="194" spans="1:8" ht="24" outlineLevel="5">
      <c r="A194" s="48" t="str">
        <f>'Приложение 3'!A196</f>
        <v>Закупка товаров, работ и услуг для государственных (муниципальных) нужд</v>
      </c>
      <c r="B194" s="80" t="str">
        <f>'Приложение 3'!C196</f>
        <v>0702</v>
      </c>
      <c r="C194" s="80" t="str">
        <f>'Приложение 3'!D196</f>
        <v>53</v>
      </c>
      <c r="D194" s="80">
        <f>'Приложение 3'!E196</f>
        <v>2</v>
      </c>
      <c r="E194" s="80">
        <f>'Приложение 3'!F196</f>
        <v>200</v>
      </c>
      <c r="F194" s="65">
        <f>'Приложение 3'!G196</f>
        <v>1411.4</v>
      </c>
      <c r="G194" s="65">
        <f>'Приложение 3'!H196</f>
        <v>470.04706</v>
      </c>
      <c r="H194" s="65">
        <f t="shared" si="2"/>
        <v>33.303603514241175</v>
      </c>
    </row>
    <row r="195" spans="1:8" ht="48" outlineLevel="5">
      <c r="A195" s="48" t="str">
        <f>'Приложение 3'!A197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0" t="str">
        <f>'Приложение 3'!C197</f>
        <v>0702</v>
      </c>
      <c r="C195" s="80" t="str">
        <f>'Приложение 3'!D197</f>
        <v>53</v>
      </c>
      <c r="D195" s="80">
        <f>'Приложение 3'!E197</f>
        <v>2</v>
      </c>
      <c r="E195" s="80">
        <f>'Приложение 3'!F197</f>
        <v>200</v>
      </c>
      <c r="F195" s="65">
        <f>'Приложение 3'!G197</f>
        <v>24.1</v>
      </c>
      <c r="G195" s="65">
        <f>'Приложение 3'!H197</f>
        <v>0.42204</v>
      </c>
      <c r="H195" s="65">
        <f t="shared" si="2"/>
        <v>1.7512033195020746</v>
      </c>
    </row>
    <row r="196" spans="1:8" ht="48" outlineLevel="5">
      <c r="A196" s="48" t="str">
        <f>'Приложение 3'!A197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6" s="80" t="str">
        <f>'Приложение 3'!C197</f>
        <v>0702</v>
      </c>
      <c r="C196" s="80" t="str">
        <f>'Приложение 3'!D197</f>
        <v>53</v>
      </c>
      <c r="D196" s="80">
        <f>'Приложение 3'!E197</f>
        <v>2</v>
      </c>
      <c r="E196" s="80" t="s">
        <v>154</v>
      </c>
      <c r="F196" s="65">
        <f>'Приложение 3'!G197</f>
        <v>24.1</v>
      </c>
      <c r="G196" s="65">
        <f>'Приложение 3'!H197</f>
        <v>0.42204</v>
      </c>
      <c r="H196" s="65">
        <f t="shared" si="2"/>
        <v>1.7512033195020746</v>
      </c>
    </row>
    <row r="197" spans="1:8" ht="12.75" outlineLevel="5">
      <c r="A197" s="48" t="str">
        <f>'Приложение 3'!A198</f>
        <v>Иные бюджетные ассигнования</v>
      </c>
      <c r="B197" s="80" t="str">
        <f>'Приложение 3'!C198</f>
        <v>0702</v>
      </c>
      <c r="C197" s="80" t="str">
        <f>'Приложение 3'!D198</f>
        <v>53</v>
      </c>
      <c r="D197" s="80">
        <f>'Приложение 3'!E198</f>
        <v>2</v>
      </c>
      <c r="E197" s="80">
        <f>'Приложение 3'!F198</f>
        <v>800</v>
      </c>
      <c r="F197" s="65">
        <f>'Приложение 3'!G198</f>
        <v>50.2</v>
      </c>
      <c r="G197" s="65">
        <f>'Приложение 3'!H198</f>
        <v>10.00445</v>
      </c>
      <c r="H197" s="65">
        <f t="shared" si="2"/>
        <v>19.92918326693227</v>
      </c>
    </row>
    <row r="198" spans="1:8" ht="26.25" customHeight="1" outlineLevel="5">
      <c r="A198" s="48" t="str">
        <f>'Приложение 3'!A199</f>
        <v>Предоставление субсидий бюджетным, автономным учреждениям и иным некоммерческим организациям</v>
      </c>
      <c r="B198" s="80" t="str">
        <f>'Приложение 3'!C199</f>
        <v>0702</v>
      </c>
      <c r="C198" s="80" t="str">
        <f>'Приложение 3'!D199</f>
        <v>53</v>
      </c>
      <c r="D198" s="80">
        <f>'Приложение 3'!E199</f>
        <v>2</v>
      </c>
      <c r="E198" s="80">
        <f>'Приложение 3'!F199</f>
        <v>600</v>
      </c>
      <c r="F198" s="65">
        <f>'Приложение 3'!G199</f>
        <v>19766.6</v>
      </c>
      <c r="G198" s="65">
        <f>'Приложение 3'!H199</f>
        <v>5573.39172</v>
      </c>
      <c r="H198" s="65">
        <f t="shared" si="2"/>
        <v>28.196005989902158</v>
      </c>
    </row>
    <row r="199" spans="1:8" ht="26.25" customHeight="1" outlineLevel="5">
      <c r="A199" s="48" t="str">
        <f>'Приложение 3'!A200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80" t="str">
        <f>'Приложение 3'!C200</f>
        <v>0702</v>
      </c>
      <c r="C199" s="80" t="str">
        <f>'Приложение 3'!D200</f>
        <v>53</v>
      </c>
      <c r="D199" s="80">
        <f>'Приложение 3'!E200</f>
        <v>2</v>
      </c>
      <c r="E199" s="80">
        <f>'Приложение 3'!F200</f>
        <v>600</v>
      </c>
      <c r="F199" s="65">
        <f>'Приложение 3'!G200</f>
        <v>1906.3356899999999</v>
      </c>
      <c r="G199" s="65">
        <f>'Приложение 3'!H200</f>
        <v>382.89185</v>
      </c>
      <c r="H199" s="65">
        <f t="shared" si="2"/>
        <v>20.085226962309036</v>
      </c>
    </row>
    <row r="200" spans="1:8" ht="12.75" outlineLevel="5">
      <c r="A200" s="48" t="str">
        <f>'Приложение 3'!A201</f>
        <v>За счет средств областного бюджета </v>
      </c>
      <c r="B200" s="80" t="str">
        <f>'Приложение 3'!C201</f>
        <v>0702</v>
      </c>
      <c r="C200" s="80" t="str">
        <f>'Приложение 3'!D201</f>
        <v>53</v>
      </c>
      <c r="D200" s="80">
        <f>'Приложение 3'!E201</f>
        <v>2</v>
      </c>
      <c r="E200" s="80" t="s">
        <v>9</v>
      </c>
      <c r="F200" s="65">
        <f>'Приложение 3'!G201</f>
        <v>151952.54395000002</v>
      </c>
      <c r="G200" s="65">
        <f>'Приложение 3'!H201</f>
        <v>29819.45991</v>
      </c>
      <c r="H200" s="65">
        <f t="shared" si="2"/>
        <v>19.624192616223716</v>
      </c>
    </row>
    <row r="201" spans="1:8" ht="38.25" customHeight="1" outlineLevel="5">
      <c r="A201" s="48" t="str">
        <f>'Приложение 3'!A202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80" t="str">
        <f>'Приложение 3'!C202</f>
        <v>0702</v>
      </c>
      <c r="C201" s="80" t="str">
        <f>'Приложение 3'!D202</f>
        <v>53</v>
      </c>
      <c r="D201" s="80">
        <f>'Приложение 3'!E202</f>
        <v>2</v>
      </c>
      <c r="E201" s="80">
        <f>'Приложение 3'!F202</f>
        <v>100</v>
      </c>
      <c r="F201" s="65">
        <f>'Приложение 3'!G202</f>
        <v>6743.1</v>
      </c>
      <c r="G201" s="65">
        <f>'Приложение 3'!H202</f>
        <v>1318.38379</v>
      </c>
      <c r="H201" s="65">
        <f t="shared" si="2"/>
        <v>19.551597781435838</v>
      </c>
    </row>
    <row r="202" spans="1:8" ht="4.5" customHeight="1" hidden="1" outlineLevel="5">
      <c r="A202" s="48" t="str">
        <f>'Приложение 3'!A203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2" s="80" t="str">
        <f>'Приложение 3'!C203</f>
        <v>0702</v>
      </c>
      <c r="C202" s="80" t="str">
        <f>'Приложение 3'!D203</f>
        <v>53</v>
      </c>
      <c r="D202" s="80">
        <f>'Приложение 3'!E203</f>
        <v>2</v>
      </c>
      <c r="E202" s="80">
        <f>'Приложение 3'!F203</f>
        <v>100</v>
      </c>
      <c r="F202" s="65">
        <f>'Приложение 3'!G203</f>
        <v>0</v>
      </c>
      <c r="G202" s="65">
        <f>'Приложение 3'!H203</f>
        <v>0</v>
      </c>
      <c r="H202" s="65" t="e">
        <f aca="true" t="shared" si="3" ref="H202:H265">SUM(G202/F202)*100</f>
        <v>#DIV/0!</v>
      </c>
    </row>
    <row r="203" spans="1:8" ht="36" outlineLevel="5">
      <c r="A203" s="48" t="str">
        <f>'Приложение 3'!A204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3" s="80" t="str">
        <f>'Приложение 3'!C204</f>
        <v>0702</v>
      </c>
      <c r="C203" s="80" t="str">
        <f>'Приложение 3'!D204</f>
        <v>53</v>
      </c>
      <c r="D203" s="80">
        <f>'Приложение 3'!E204</f>
        <v>2</v>
      </c>
      <c r="E203" s="80">
        <f>'Приложение 3'!F204</f>
        <v>100</v>
      </c>
      <c r="F203" s="65">
        <f>'Приложение 3'!G204</f>
        <v>781.2</v>
      </c>
      <c r="G203" s="65">
        <f>'Приложение 3'!H204</f>
        <v>195.3</v>
      </c>
      <c r="H203" s="65">
        <f t="shared" si="3"/>
        <v>25</v>
      </c>
    </row>
    <row r="204" spans="1:8" ht="30" customHeight="1" outlineLevel="5">
      <c r="A204" s="48" t="str">
        <f>'Приложение 3'!A205</f>
        <v>Закупка товаров, работ и услуг для государственных (муниципальных) нужд</v>
      </c>
      <c r="B204" s="80" t="str">
        <f>'Приложение 3'!C205</f>
        <v>0702</v>
      </c>
      <c r="C204" s="80" t="str">
        <f>'Приложение 3'!D205</f>
        <v>53</v>
      </c>
      <c r="D204" s="80">
        <f>'Приложение 3'!E205</f>
        <v>2</v>
      </c>
      <c r="E204" s="80">
        <f>'Приложение 3'!F205</f>
        <v>200</v>
      </c>
      <c r="F204" s="65">
        <f>'Приложение 3'!G205</f>
        <v>189</v>
      </c>
      <c r="G204" s="65">
        <f>'Приложение 3'!H205</f>
        <v>0</v>
      </c>
      <c r="H204" s="65">
        <f t="shared" si="3"/>
        <v>0</v>
      </c>
    </row>
    <row r="205" spans="1:8" ht="17.25" customHeight="1" outlineLevel="5">
      <c r="A205" s="48" t="str">
        <f>'Приложение 3'!A206</f>
        <v>За счет средств областного бюджета на питание</v>
      </c>
      <c r="B205" s="80" t="str">
        <f>'Приложение 3'!C206</f>
        <v>0702</v>
      </c>
      <c r="C205" s="80" t="str">
        <f>'Приложение 3'!D206</f>
        <v>53</v>
      </c>
      <c r="D205" s="80">
        <f>'Приложение 3'!E206</f>
        <v>2</v>
      </c>
      <c r="E205" s="80">
        <f>'Приложение 3'!F206</f>
        <v>200</v>
      </c>
      <c r="F205" s="65">
        <f>'Приложение 3'!G206</f>
        <v>74</v>
      </c>
      <c r="G205" s="65">
        <f>'Приложение 3'!H206</f>
        <v>1.2746</v>
      </c>
      <c r="H205" s="65">
        <f t="shared" si="3"/>
        <v>1.7224324324324323</v>
      </c>
    </row>
    <row r="206" spans="1:8" ht="24.75" customHeight="1" outlineLevel="5">
      <c r="A206" s="48" t="str">
        <f>'Приложение 3'!A207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6" s="80" t="str">
        <f>'Приложение 3'!C207</f>
        <v>0702</v>
      </c>
      <c r="C206" s="80" t="str">
        <f>'Приложение 3'!D207</f>
        <v>53</v>
      </c>
      <c r="D206" s="80">
        <f>'Приложение 3'!E207</f>
        <v>2</v>
      </c>
      <c r="E206" s="80">
        <f>'Приложение 3'!F207</f>
        <v>200</v>
      </c>
      <c r="F206" s="65">
        <f>'Приложение 3'!G207</f>
        <v>74</v>
      </c>
      <c r="G206" s="65">
        <f>'Приложение 3'!H207</f>
        <v>1.29496</v>
      </c>
      <c r="H206" s="65">
        <f t="shared" si="3"/>
        <v>1.749945945945946</v>
      </c>
    </row>
    <row r="207" spans="1:8" ht="60" outlineLevel="5">
      <c r="A207" s="48" t="str">
        <f>'Приложение 3'!A208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07" s="80" t="str">
        <f>'Приложение 3'!C208</f>
        <v>0702</v>
      </c>
      <c r="C207" s="80" t="str">
        <f>'Приложение 3'!D208</f>
        <v>53</v>
      </c>
      <c r="D207" s="80">
        <f>'Приложение 3'!E208</f>
        <v>2</v>
      </c>
      <c r="E207" s="80">
        <f>'Приложение 3'!F208</f>
        <v>600</v>
      </c>
      <c r="F207" s="65">
        <f>'Приложение 3'!G208</f>
        <v>5849.24895</v>
      </c>
      <c r="G207" s="65">
        <f>'Приложение 3'!H208</f>
        <v>1174.84554</v>
      </c>
      <c r="H207" s="65">
        <f t="shared" si="3"/>
        <v>20.08540840102215</v>
      </c>
    </row>
    <row r="208" spans="1:8" ht="24" outlineLevel="5">
      <c r="A208" s="48" t="str">
        <f>'Приложение 3'!A209</f>
        <v>За счет средств областного бюджета на образовательный процесс</v>
      </c>
      <c r="B208" s="80" t="str">
        <f>'Приложение 3'!C209</f>
        <v>0702</v>
      </c>
      <c r="C208" s="80" t="str">
        <f>'Приложение 3'!D209</f>
        <v>53</v>
      </c>
      <c r="D208" s="80">
        <f>'Приложение 3'!E209</f>
        <v>2</v>
      </c>
      <c r="E208" s="80">
        <f>'Приложение 3'!F209</f>
        <v>600</v>
      </c>
      <c r="F208" s="65">
        <f>'Приложение 3'!G209</f>
        <v>123115</v>
      </c>
      <c r="G208" s="65">
        <f>'Приложение 3'!H209</f>
        <v>23099.70244</v>
      </c>
      <c r="H208" s="65">
        <f t="shared" si="3"/>
        <v>18.76270352109816</v>
      </c>
    </row>
    <row r="209" spans="1:8" ht="48" hidden="1" outlineLevel="5">
      <c r="A209" s="48" t="str">
        <f>'Приложение 3'!A210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9" s="80" t="str">
        <f>'Приложение 3'!C210</f>
        <v>0702</v>
      </c>
      <c r="C209" s="80" t="str">
        <f>'Приложение 3'!D210</f>
        <v>53</v>
      </c>
      <c r="D209" s="80">
        <f>'Приложение 3'!E210</f>
        <v>2</v>
      </c>
      <c r="E209" s="80">
        <f>'Приложение 3'!F210</f>
        <v>600</v>
      </c>
      <c r="F209" s="65">
        <f>'Приложение 3'!G210</f>
        <v>0</v>
      </c>
      <c r="G209" s="65">
        <f>'Приложение 3'!H210</f>
        <v>0</v>
      </c>
      <c r="H209" s="65" t="e">
        <f t="shared" si="3"/>
        <v>#DIV/0!</v>
      </c>
    </row>
    <row r="210" spans="1:8" ht="36" outlineLevel="5">
      <c r="A210" s="48" t="str">
        <f>'Приложение 3'!A211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80" t="str">
        <f>'Приложение 3'!C211</f>
        <v>0702</v>
      </c>
      <c r="C210" s="80" t="str">
        <f>'Приложение 3'!D211</f>
        <v>53</v>
      </c>
      <c r="D210" s="80">
        <f>'Приложение 3'!E211</f>
        <v>2</v>
      </c>
      <c r="E210" s="80">
        <f>'Приложение 3'!F211</f>
        <v>600</v>
      </c>
      <c r="F210" s="65">
        <f>'Приложение 3'!G211</f>
        <v>10546.199999999999</v>
      </c>
      <c r="G210" s="65">
        <f>'Приложение 3'!H211</f>
        <v>3188.75691</v>
      </c>
      <c r="H210" s="65">
        <f t="shared" si="3"/>
        <v>30.23607469989191</v>
      </c>
    </row>
    <row r="211" spans="1:8" ht="12.75" outlineLevel="5">
      <c r="A211" s="48" t="str">
        <f>'Приложение 3'!A212</f>
        <v>За счет средств областного бюджета на питание</v>
      </c>
      <c r="B211" s="80" t="str">
        <f>'Приложение 3'!C212</f>
        <v>0702</v>
      </c>
      <c r="C211" s="80" t="str">
        <f>'Приложение 3'!D212</f>
        <v>53</v>
      </c>
      <c r="D211" s="80">
        <f>'Приложение 3'!E212</f>
        <v>2</v>
      </c>
      <c r="E211" s="80">
        <f>'Приложение 3'!F212</f>
        <v>600</v>
      </c>
      <c r="F211" s="65">
        <f>'Приложение 3'!G212</f>
        <v>4300.695</v>
      </c>
      <c r="G211" s="65">
        <f>'Приложение 3'!H212</f>
        <v>839.90167</v>
      </c>
      <c r="H211" s="65">
        <f t="shared" si="3"/>
        <v>19.52944047415592</v>
      </c>
    </row>
    <row r="212" spans="1:8" ht="24.75" customHeight="1" outlineLevel="5">
      <c r="A212" s="48" t="str">
        <f>'Приложение 3'!A213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2" s="80" t="str">
        <f>'Приложение 3'!C213</f>
        <v>0702</v>
      </c>
      <c r="C212" s="80" t="str">
        <f>'Приложение 3'!D213</f>
        <v>53</v>
      </c>
      <c r="D212" s="80">
        <f>'Приложение 3'!E213</f>
        <v>2</v>
      </c>
      <c r="E212" s="80">
        <f>'Приложение 3'!F213</f>
        <v>600</v>
      </c>
      <c r="F212" s="65">
        <f>'Приложение 3'!G213</f>
        <v>0</v>
      </c>
      <c r="G212" s="65">
        <f>'Приложение 3'!H213</f>
        <v>0</v>
      </c>
      <c r="H212" s="65" t="e">
        <f t="shared" si="3"/>
        <v>#DIV/0!</v>
      </c>
    </row>
    <row r="213" spans="1:8" ht="24" outlineLevel="5">
      <c r="A213" s="48" t="str">
        <f>'Приложение 3'!A214</f>
        <v>За счет средств на расходы на осуществление социальных гарантий молодым специалистам</v>
      </c>
      <c r="B213" s="80" t="str">
        <f>'Приложение 3'!C214</f>
        <v>0702</v>
      </c>
      <c r="C213" s="80" t="str">
        <f>'Приложение 3'!D214</f>
        <v>53</v>
      </c>
      <c r="D213" s="80">
        <f>'Приложение 3'!E214</f>
        <v>2</v>
      </c>
      <c r="E213" s="80">
        <f>'Приложение 3'!F214</f>
        <v>600</v>
      </c>
      <c r="F213" s="65">
        <f>'Приложение 3'!G214</f>
        <v>280.09999999999997</v>
      </c>
      <c r="G213" s="65">
        <f>'Приложение 3'!H214</f>
        <v>0</v>
      </c>
      <c r="H213" s="65">
        <f t="shared" si="3"/>
        <v>0</v>
      </c>
    </row>
    <row r="214" spans="1:8" ht="14.25" customHeight="1" outlineLevel="5">
      <c r="A214" s="48" t="str">
        <f>'Приложение 3'!A215</f>
        <v>Дополнительное образование детей</v>
      </c>
      <c r="B214" s="80" t="str">
        <f>'Приложение 3'!C215</f>
        <v>0703</v>
      </c>
      <c r="C214" s="80"/>
      <c r="D214" s="80"/>
      <c r="E214" s="80"/>
      <c r="F214" s="65">
        <f>'Приложение 3'!G215</f>
        <v>9900</v>
      </c>
      <c r="G214" s="65">
        <f>'Приложение 3'!H215</f>
        <v>2250.3069</v>
      </c>
      <c r="H214" s="65">
        <f t="shared" si="3"/>
        <v>22.730372727272727</v>
      </c>
    </row>
    <row r="215" spans="1:8" ht="2.25" customHeight="1" hidden="1" outlineLevel="5">
      <c r="A215" s="48" t="str">
        <f>'Приложение 3'!A216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5" s="80" t="str">
        <f>'Приложение 3'!C216</f>
        <v>0703</v>
      </c>
      <c r="C215" s="80" t="str">
        <f>'Приложение 3'!D216</f>
        <v>02</v>
      </c>
      <c r="D215" s="80">
        <f>'Приложение 3'!E216</f>
        <v>0</v>
      </c>
      <c r="E215" s="80"/>
      <c r="F215" s="65">
        <f>'Приложение 3'!G216</f>
        <v>0</v>
      </c>
      <c r="G215" s="65">
        <f>'Приложение 3'!H216</f>
        <v>0</v>
      </c>
      <c r="H215" s="65" t="e">
        <f t="shared" si="3"/>
        <v>#DIV/0!</v>
      </c>
    </row>
    <row r="216" spans="1:8" ht="42" customHeight="1" hidden="1" outlineLevel="5">
      <c r="A216" s="48" t="str">
        <f>'Приложение 3'!A217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6" s="80" t="str">
        <f>'Приложение 3'!C217</f>
        <v>0703</v>
      </c>
      <c r="C216" s="80" t="str">
        <f>'Приложение 3'!D217</f>
        <v>02</v>
      </c>
      <c r="D216" s="80">
        <f>'Приложение 3'!E217</f>
        <v>3</v>
      </c>
      <c r="E216" s="80"/>
      <c r="F216" s="65">
        <f>'Приложение 3'!G217</f>
        <v>0</v>
      </c>
      <c r="G216" s="65">
        <f>'Приложение 3'!H217</f>
        <v>0</v>
      </c>
      <c r="H216" s="65" t="e">
        <f t="shared" si="3"/>
        <v>#DIV/0!</v>
      </c>
    </row>
    <row r="217" spans="1:8" ht="24" hidden="1" outlineLevel="5">
      <c r="A217" s="48" t="str">
        <f>'Приложение 3'!A218</f>
        <v>Предоставление субсидий бюджетным, автономным учреждениям и иным некоммерческим организациям</v>
      </c>
      <c r="B217" s="80" t="str">
        <f>'Приложение 3'!C218</f>
        <v>0703</v>
      </c>
      <c r="C217" s="80" t="str">
        <f>'Приложение 3'!D218</f>
        <v>02</v>
      </c>
      <c r="D217" s="80">
        <f>'Приложение 3'!E218</f>
        <v>3</v>
      </c>
      <c r="E217" s="80">
        <f>'Приложение 3'!F218</f>
        <v>600</v>
      </c>
      <c r="F217" s="65">
        <f>'Приложение 3'!G218</f>
        <v>0</v>
      </c>
      <c r="G217" s="65">
        <f>'Приложение 3'!H218</f>
        <v>0</v>
      </c>
      <c r="H217" s="65" t="e">
        <f t="shared" si="3"/>
        <v>#DIV/0!</v>
      </c>
    </row>
    <row r="218" spans="1:8" ht="37.5" customHeight="1" outlineLevel="5">
      <c r="A218" s="48" t="str">
        <f>'Приложение 3'!A219</f>
        <v>Ведомственная целевая программа "Развитие образования детей на территории Алексеевского муниципального района на 2020-2022 годы"</v>
      </c>
      <c r="B218" s="80" t="str">
        <f>'Приложение 3'!C219</f>
        <v>0703</v>
      </c>
      <c r="C218" s="80" t="str">
        <f>'Приложение 3'!D219</f>
        <v>53</v>
      </c>
      <c r="D218" s="80">
        <f>'Приложение 3'!E219</f>
        <v>0</v>
      </c>
      <c r="E218" s="80"/>
      <c r="F218" s="65">
        <f>'Приложение 3'!G219</f>
        <v>9900</v>
      </c>
      <c r="G218" s="65">
        <f>'Приложение 3'!H219</f>
        <v>2250.3069</v>
      </c>
      <c r="H218" s="65">
        <f t="shared" si="3"/>
        <v>22.730372727272727</v>
      </c>
    </row>
    <row r="219" spans="1:8" ht="15" customHeight="1" outlineLevel="5">
      <c r="A219" s="48" t="str">
        <f>'Приложение 3'!A220</f>
        <v>Подпрограмма "Развитие дополнительного образования детей"</v>
      </c>
      <c r="B219" s="80" t="str">
        <f>'Приложение 3'!C220</f>
        <v>0703</v>
      </c>
      <c r="C219" s="80" t="str">
        <f>'Приложение 3'!D220</f>
        <v>53</v>
      </c>
      <c r="D219" s="80">
        <f>'Приложение 3'!E220</f>
        <v>3</v>
      </c>
      <c r="E219" s="80" t="s">
        <v>9</v>
      </c>
      <c r="F219" s="65">
        <f>'Приложение 3'!G220</f>
        <v>9900</v>
      </c>
      <c r="G219" s="65">
        <f>'Приложение 3'!H220</f>
        <v>2250.3069</v>
      </c>
      <c r="H219" s="65">
        <f t="shared" si="3"/>
        <v>22.730372727272727</v>
      </c>
    </row>
    <row r="220" spans="1:8" ht="24" outlineLevel="5">
      <c r="A220" s="48" t="str">
        <f>'Приложение 3'!A221</f>
        <v>Предоставление субсидий бюджетным, автономным учреждениям и иным некоммерческим организациям (ДШИ)</v>
      </c>
      <c r="B220" s="80" t="str">
        <f>'Приложение 3'!C221</f>
        <v>0703</v>
      </c>
      <c r="C220" s="80" t="str">
        <f>'Приложение 3'!D221</f>
        <v>53</v>
      </c>
      <c r="D220" s="80">
        <f>'Приложение 3'!E221</f>
        <v>3</v>
      </c>
      <c r="E220" s="80">
        <f>'Приложение 3'!F221</f>
        <v>600</v>
      </c>
      <c r="F220" s="65">
        <f>'Приложение 3'!G221</f>
        <v>5800</v>
      </c>
      <c r="G220" s="65">
        <f>'Приложение 3'!H221</f>
        <v>1439.63264</v>
      </c>
      <c r="H220" s="65">
        <f t="shared" si="3"/>
        <v>24.821252413793104</v>
      </c>
    </row>
    <row r="221" spans="1:8" ht="39.75" customHeight="1" outlineLevel="5">
      <c r="A221" s="48" t="str">
        <f>'Приложение 3'!A222</f>
        <v>Предоставление субсидий бюджетным, автономным учреждениям и иным некоммерческим организациям (ДЮСШ)</v>
      </c>
      <c r="B221" s="80" t="str">
        <f>'Приложение 3'!C222</f>
        <v>0703</v>
      </c>
      <c r="C221" s="80" t="str">
        <f>'Приложение 3'!D222</f>
        <v>53</v>
      </c>
      <c r="D221" s="80">
        <f>'Приложение 3'!E222</f>
        <v>3</v>
      </c>
      <c r="E221" s="80">
        <f>'Приложение 3'!F222</f>
        <v>600</v>
      </c>
      <c r="F221" s="65">
        <f>'Приложение 3'!G222</f>
        <v>4100</v>
      </c>
      <c r="G221" s="65">
        <f>'Приложение 3'!H222</f>
        <v>810.67426</v>
      </c>
      <c r="H221" s="65">
        <f t="shared" si="3"/>
        <v>19.772542926829267</v>
      </c>
    </row>
    <row r="222" spans="1:8" ht="12.75" outlineLevel="5">
      <c r="A222" s="48" t="str">
        <f>'Приложение 3'!A223</f>
        <v>Молодежная политика </v>
      </c>
      <c r="B222" s="80" t="str">
        <f>'Приложение 3'!C223</f>
        <v>0707</v>
      </c>
      <c r="C222" s="80">
        <f>'Приложение 3'!D223</f>
      </c>
      <c r="D222" s="80">
        <f>'Приложение 3'!E223</f>
      </c>
      <c r="E222" s="80"/>
      <c r="F222" s="65">
        <f>'Приложение 3'!G223</f>
        <v>6284.889</v>
      </c>
      <c r="G222" s="65">
        <f>'Приложение 3'!H223</f>
        <v>1104.51357</v>
      </c>
      <c r="H222" s="65">
        <f t="shared" si="3"/>
        <v>17.574114196766246</v>
      </c>
    </row>
    <row r="223" spans="1:8" ht="25.5" customHeight="1" outlineLevel="5">
      <c r="A223" s="48" t="str">
        <f>'Приложение 3'!A224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3" s="80" t="str">
        <f>'Приложение 3'!C224</f>
        <v>0707</v>
      </c>
      <c r="C223" s="80" t="str">
        <f>'Приложение 3'!D224</f>
        <v>07</v>
      </c>
      <c r="D223" s="80">
        <f>'Приложение 3'!E224</f>
        <v>0</v>
      </c>
      <c r="E223" s="80"/>
      <c r="F223" s="65">
        <f>'Приложение 3'!G224</f>
        <v>100</v>
      </c>
      <c r="G223" s="65">
        <f>'Приложение 3'!H224</f>
        <v>0</v>
      </c>
      <c r="H223" s="65">
        <f t="shared" si="3"/>
        <v>0</v>
      </c>
    </row>
    <row r="224" spans="1:8" ht="24" outlineLevel="5">
      <c r="A224" s="48" t="str">
        <f>'Приложение 3'!A225</f>
        <v>Подпрограмма "Комплексные меры по противодействию наркомании"</v>
      </c>
      <c r="B224" s="80" t="str">
        <f>'Приложение 3'!C225</f>
        <v>0707</v>
      </c>
      <c r="C224" s="80" t="str">
        <f>'Приложение 3'!D225</f>
        <v>07</v>
      </c>
      <c r="D224" s="80">
        <f>'Приложение 3'!E225</f>
        <v>1</v>
      </c>
      <c r="E224" s="80"/>
      <c r="F224" s="65">
        <f>'Приложение 3'!G225</f>
        <v>30</v>
      </c>
      <c r="G224" s="65">
        <f>'Приложение 3'!H225</f>
        <v>0</v>
      </c>
      <c r="H224" s="65">
        <f t="shared" si="3"/>
        <v>0</v>
      </c>
    </row>
    <row r="225" spans="1:8" ht="27" customHeight="1" outlineLevel="5">
      <c r="A225" s="48" t="str">
        <f>'Приложение 3'!A226</f>
        <v>Закупка товаров, работ и услуг для государственных (муниципальных) нужд</v>
      </c>
      <c r="B225" s="80" t="str">
        <f>'Приложение 3'!C226</f>
        <v>0707</v>
      </c>
      <c r="C225" s="80" t="str">
        <f>'Приложение 3'!D226</f>
        <v>07</v>
      </c>
      <c r="D225" s="80">
        <f>'Приложение 3'!E226</f>
        <v>1</v>
      </c>
      <c r="E225" s="80">
        <f>'Приложение 3'!F226</f>
        <v>200</v>
      </c>
      <c r="F225" s="65">
        <f>'Приложение 3'!G226</f>
        <v>30</v>
      </c>
      <c r="G225" s="65">
        <f>'Приложение 3'!H226</f>
        <v>0</v>
      </c>
      <c r="H225" s="65">
        <f t="shared" si="3"/>
        <v>0</v>
      </c>
    </row>
    <row r="226" spans="1:8" ht="24" outlineLevel="5">
      <c r="A226" s="48" t="str">
        <f>'Приложение 3'!A227</f>
        <v>Подпрограмма "Реализация мероприятий молодежной политики и социальной адаптации молодежи "</v>
      </c>
      <c r="B226" s="80" t="str">
        <f>'Приложение 3'!C227</f>
        <v>0707</v>
      </c>
      <c r="C226" s="80" t="str">
        <f>'Приложение 3'!D227</f>
        <v>07</v>
      </c>
      <c r="D226" s="80">
        <f>'Приложение 3'!E227</f>
        <v>2</v>
      </c>
      <c r="E226" s="80"/>
      <c r="F226" s="65">
        <f>'Приложение 3'!G227</f>
        <v>40</v>
      </c>
      <c r="G226" s="65">
        <f>'Приложение 3'!H227</f>
        <v>0</v>
      </c>
      <c r="H226" s="65">
        <f t="shared" si="3"/>
        <v>0</v>
      </c>
    </row>
    <row r="227" spans="1:8" ht="24" customHeight="1" outlineLevel="5">
      <c r="A227" s="48" t="str">
        <f>'Приложение 3'!A228</f>
        <v>Закупка товаров, работ и услуг для государственных (муниципальных) нужд</v>
      </c>
      <c r="B227" s="80" t="str">
        <f>'Приложение 3'!C228</f>
        <v>0707</v>
      </c>
      <c r="C227" s="80" t="str">
        <f>'Приложение 3'!D228</f>
        <v>07</v>
      </c>
      <c r="D227" s="80">
        <f>'Приложение 3'!E228</f>
        <v>2</v>
      </c>
      <c r="E227" s="80">
        <f>'Приложение 3'!F228</f>
        <v>200</v>
      </c>
      <c r="F227" s="65">
        <f>'Приложение 3'!G228</f>
        <v>40</v>
      </c>
      <c r="G227" s="65">
        <f>'Приложение 3'!H228</f>
        <v>0</v>
      </c>
      <c r="H227" s="65">
        <f t="shared" si="3"/>
        <v>0</v>
      </c>
    </row>
    <row r="228" spans="1:8" ht="24" customHeight="1" hidden="1" outlineLevel="5">
      <c r="A228" s="48" t="str">
        <f>'Приложение 3'!A229</f>
        <v>Подпрограмма " Профилактика безнадзорности, правонарушений и неблагополучия несовершеннолетних"</v>
      </c>
      <c r="B228" s="80" t="str">
        <f>'Приложение 3'!C229</f>
        <v>0707</v>
      </c>
      <c r="C228" s="80" t="str">
        <f>'Приложение 3'!D229</f>
        <v>07</v>
      </c>
      <c r="D228" s="80">
        <f>'Приложение 3'!E229</f>
        <v>3</v>
      </c>
      <c r="E228" s="80"/>
      <c r="F228" s="65">
        <f>'Приложение 3'!G229</f>
        <v>30</v>
      </c>
      <c r="G228" s="65">
        <f>'Приложение 3'!H229</f>
        <v>0</v>
      </c>
      <c r="H228" s="65">
        <f t="shared" si="3"/>
        <v>0</v>
      </c>
    </row>
    <row r="229" spans="1:8" ht="25.5" customHeight="1" hidden="1" outlineLevel="5">
      <c r="A229" s="48" t="str">
        <f>'Приложение 3'!A230</f>
        <v>Закупка товаров, работ и услуг для государственных (муниципальных) нужд</v>
      </c>
      <c r="B229" s="80" t="str">
        <f>'Приложение 3'!C230</f>
        <v>0707</v>
      </c>
      <c r="C229" s="80" t="str">
        <f>'Приложение 3'!D230</f>
        <v>07</v>
      </c>
      <c r="D229" s="80">
        <f>'Приложение 3'!E230</f>
        <v>3</v>
      </c>
      <c r="E229" s="80">
        <f>'Приложение 3'!F230</f>
        <v>200</v>
      </c>
      <c r="F229" s="65">
        <f>'Приложение 3'!G230</f>
        <v>30</v>
      </c>
      <c r="G229" s="65">
        <f>'Приложение 3'!H230</f>
        <v>0</v>
      </c>
      <c r="H229" s="65">
        <f t="shared" si="3"/>
        <v>0</v>
      </c>
    </row>
    <row r="230" spans="1:8" ht="24" outlineLevel="5">
      <c r="A230" s="48" t="str">
        <f>'Приложение 3'!A231</f>
        <v>Закупка товаров, работ и услуг для государственных (муниципальных) нужд</v>
      </c>
      <c r="B230" s="80" t="str">
        <f>'Приложение 3'!C231</f>
        <v>0707</v>
      </c>
      <c r="C230" s="80" t="str">
        <f>'Приложение 3'!D231</f>
        <v>07</v>
      </c>
      <c r="D230" s="80">
        <f>'Приложение 3'!E231</f>
        <v>3</v>
      </c>
      <c r="E230" s="80">
        <f>'Приложение 3'!F231</f>
        <v>200</v>
      </c>
      <c r="F230" s="65">
        <f>'Приложение 3'!G231</f>
        <v>0</v>
      </c>
      <c r="G230" s="65">
        <f>'Приложение 3'!H231</f>
        <v>0</v>
      </c>
      <c r="H230" s="65" t="e">
        <f t="shared" si="3"/>
        <v>#DIV/0!</v>
      </c>
    </row>
    <row r="231" spans="1:8" ht="31.5" customHeight="1" outlineLevel="5">
      <c r="A231" s="48" t="str">
        <f>'Приложение 3'!A232</f>
        <v>Закупка товаров, работ и услуг для государственных (муниципальных) нужд</v>
      </c>
      <c r="B231" s="80" t="str">
        <f>'Приложение 3'!C232</f>
        <v>0707</v>
      </c>
      <c r="C231" s="80" t="str">
        <f>'Приложение 3'!D232</f>
        <v>07</v>
      </c>
      <c r="D231" s="80">
        <f>'Приложение 3'!E232</f>
        <v>3</v>
      </c>
      <c r="E231" s="80">
        <f>'Приложение 3'!F232</f>
        <v>200</v>
      </c>
      <c r="F231" s="65">
        <f>'Приложение 3'!G232</f>
        <v>0</v>
      </c>
      <c r="G231" s="65">
        <f>'Приложение 3'!H232</f>
        <v>0</v>
      </c>
      <c r="H231" s="65" t="e">
        <f t="shared" si="3"/>
        <v>#DIV/0!</v>
      </c>
    </row>
    <row r="232" spans="1:8" ht="39.75" customHeight="1" outlineLevel="5">
      <c r="A232" s="48" t="str">
        <f>'Приложение 3'!A233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32" s="80" t="str">
        <f>'Приложение 3'!C233</f>
        <v>0707</v>
      </c>
      <c r="C232" s="80" t="str">
        <f>'Приложение 3'!D233</f>
        <v>56</v>
      </c>
      <c r="D232" s="80">
        <f>'Приложение 3'!E233</f>
        <v>0</v>
      </c>
      <c r="E232" s="80"/>
      <c r="F232" s="65">
        <f>'Приложение 3'!G233</f>
        <v>4500</v>
      </c>
      <c r="G232" s="65">
        <f>'Приложение 3'!H233</f>
        <v>1104.51357</v>
      </c>
      <c r="H232" s="65">
        <f t="shared" si="3"/>
        <v>24.544746</v>
      </c>
    </row>
    <row r="233" spans="1:8" ht="29.25" customHeight="1" outlineLevel="5">
      <c r="A233" s="48" t="str">
        <f>'Приложение 3'!A234</f>
        <v>Предоставление субсидий бюджетным, автономным учреждениям и иным некоммерческим организациям</v>
      </c>
      <c r="B233" s="80" t="str">
        <f>'Приложение 3'!C234</f>
        <v>0707</v>
      </c>
      <c r="C233" s="80" t="str">
        <f>'Приложение 3'!D234</f>
        <v>56</v>
      </c>
      <c r="D233" s="80">
        <f>'Приложение 3'!E234</f>
        <v>0</v>
      </c>
      <c r="E233" s="80">
        <f>'Приложение 3'!F234</f>
        <v>600</v>
      </c>
      <c r="F233" s="65">
        <f>'Приложение 3'!G234</f>
        <v>4500</v>
      </c>
      <c r="G233" s="65">
        <f>'Приложение 3'!H234</f>
        <v>1104.51357</v>
      </c>
      <c r="H233" s="65">
        <f t="shared" si="3"/>
        <v>24.544746</v>
      </c>
    </row>
    <row r="234" spans="1:8" ht="20.25" customHeight="1" outlineLevel="5">
      <c r="A234" s="48" t="str">
        <f>'Приложение 3'!A235</f>
        <v>Организация отдыха детей в лагерях дневного пребывания</v>
      </c>
      <c r="B234" s="80" t="str">
        <f>'Приложение 3'!C235</f>
        <v>0707</v>
      </c>
      <c r="C234" s="80" t="str">
        <f>'Приложение 3'!D235</f>
        <v>99</v>
      </c>
      <c r="D234" s="80"/>
      <c r="E234" s="80"/>
      <c r="F234" s="65">
        <f>'Приложение 3'!G235</f>
        <v>1684.889</v>
      </c>
      <c r="G234" s="65">
        <f>'Приложение 3'!H235</f>
        <v>0</v>
      </c>
      <c r="H234" s="65">
        <f t="shared" si="3"/>
        <v>0</v>
      </c>
    </row>
    <row r="235" spans="1:8" ht="24.75" customHeight="1" outlineLevel="5">
      <c r="A235" s="48" t="str">
        <f>'Приложение 3'!A236</f>
        <v>Непрограммные расходы органов местного самоуправления Алексеевского муниципального района</v>
      </c>
      <c r="B235" s="80" t="str">
        <f>'Приложение 3'!C236</f>
        <v>0707</v>
      </c>
      <c r="C235" s="80" t="str">
        <f>'Приложение 3'!D236</f>
        <v>99</v>
      </c>
      <c r="D235" s="80"/>
      <c r="E235" s="80"/>
      <c r="F235" s="65">
        <f>'Приложение 3'!G236</f>
        <v>1684.889</v>
      </c>
      <c r="G235" s="65">
        <f>'Приложение 3'!H236</f>
        <v>0</v>
      </c>
      <c r="H235" s="65">
        <f t="shared" si="3"/>
        <v>0</v>
      </c>
    </row>
    <row r="236" spans="1:8" ht="36" outlineLevel="5">
      <c r="A236" s="48" t="str">
        <f>'Приложение 3'!A237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6" s="80" t="str">
        <f>'Приложение 3'!C237</f>
        <v>0707</v>
      </c>
      <c r="C236" s="80" t="str">
        <f>'Приложение 3'!D237</f>
        <v>99</v>
      </c>
      <c r="D236" s="80">
        <f>'Приложение 3'!E237</f>
        <v>0</v>
      </c>
      <c r="E236" s="80">
        <f>'Приложение 3'!F237</f>
        <v>600</v>
      </c>
      <c r="F236" s="65">
        <f>'Приложение 3'!G237</f>
        <v>1516.3999999999999</v>
      </c>
      <c r="G236" s="65">
        <f>'Приложение 3'!H237</f>
        <v>0</v>
      </c>
      <c r="H236" s="65">
        <f t="shared" si="3"/>
        <v>0</v>
      </c>
    </row>
    <row r="237" spans="1:8" ht="27.75" customHeight="1" outlineLevel="5">
      <c r="A237" s="48" t="str">
        <f>'Приложение 3'!A238</f>
        <v>Предоставление субсидий бюджетным, автономным учреждениям и иным некоммерческим организациям</v>
      </c>
      <c r="B237" s="80" t="str">
        <f>'Приложение 3'!C238</f>
        <v>0707</v>
      </c>
      <c r="C237" s="80" t="str">
        <f>'Приложение 3'!D238</f>
        <v>99</v>
      </c>
      <c r="D237" s="80">
        <f>'Приложение 3'!E238</f>
        <v>0</v>
      </c>
      <c r="E237" s="80">
        <f>'Приложение 3'!F238</f>
        <v>600</v>
      </c>
      <c r="F237" s="65">
        <f>'Приложение 3'!G238</f>
        <v>168.489</v>
      </c>
      <c r="G237" s="65">
        <f>'Приложение 3'!H238</f>
        <v>0</v>
      </c>
      <c r="H237" s="65">
        <f t="shared" si="3"/>
        <v>0</v>
      </c>
    </row>
    <row r="238" spans="1:8" ht="15.75" customHeight="1" outlineLevel="5">
      <c r="A238" s="48" t="str">
        <f>'Приложение 3'!A239</f>
        <v>Другие вопросы в области образования</v>
      </c>
      <c r="B238" s="80" t="str">
        <f>'Приложение 3'!C239</f>
        <v>0709</v>
      </c>
      <c r="C238" s="80"/>
      <c r="D238" s="80"/>
      <c r="E238" s="80"/>
      <c r="F238" s="65">
        <f>'Приложение 3'!G239</f>
        <v>1315</v>
      </c>
      <c r="G238" s="65">
        <f>'Приложение 3'!H239</f>
        <v>253.27864</v>
      </c>
      <c r="H238" s="65">
        <f t="shared" si="3"/>
        <v>19.26073307984791</v>
      </c>
    </row>
    <row r="239" spans="1:8" ht="61.5" customHeight="1" outlineLevel="5">
      <c r="A239" s="48" t="str">
        <f>'Приложение 3'!A240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9" s="80" t="str">
        <f>'Приложение 3'!C240</f>
        <v>0709</v>
      </c>
      <c r="C239" s="80" t="str">
        <f>'Приложение 3'!D240</f>
        <v>08</v>
      </c>
      <c r="D239" s="80">
        <f>'Приложение 3'!E240</f>
        <v>0</v>
      </c>
      <c r="E239" s="80"/>
      <c r="F239" s="65">
        <f>'Приложение 3'!G240</f>
        <v>20</v>
      </c>
      <c r="G239" s="65">
        <f>'Приложение 3'!H240</f>
        <v>0</v>
      </c>
      <c r="H239" s="65">
        <f t="shared" si="3"/>
        <v>0</v>
      </c>
    </row>
    <row r="240" spans="1:8" ht="12.75" outlineLevel="2">
      <c r="A240" s="48" t="str">
        <f>'Приложение 3'!A241</f>
        <v>Социальное обеспечение и иные выплаты населению</v>
      </c>
      <c r="B240" s="80" t="str">
        <f>'Приложение 3'!C241</f>
        <v>0709</v>
      </c>
      <c r="C240" s="80" t="str">
        <f>'Приложение 3'!D241</f>
        <v>08</v>
      </c>
      <c r="D240" s="80">
        <f>'Приложение 3'!E241</f>
        <v>0</v>
      </c>
      <c r="E240" s="80" t="s">
        <v>211</v>
      </c>
      <c r="F240" s="65">
        <f>'Приложение 3'!G241</f>
        <v>20</v>
      </c>
      <c r="G240" s="65">
        <f>'Приложение 3'!H241</f>
        <v>0</v>
      </c>
      <c r="H240" s="65">
        <f t="shared" si="3"/>
        <v>0</v>
      </c>
    </row>
    <row r="241" spans="1:8" ht="48" outlineLevel="3">
      <c r="A241" s="48" t="str">
        <f>'Приложение 3'!A242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1" s="80" t="str">
        <f>'Приложение 3'!C242</f>
        <v>0709</v>
      </c>
      <c r="C241" s="80" t="str">
        <f>'Приложение 3'!D242</f>
        <v>58</v>
      </c>
      <c r="D241" s="80">
        <f>'Приложение 3'!E242</f>
        <v>0</v>
      </c>
      <c r="E241" s="80"/>
      <c r="F241" s="65">
        <f>'Приложение 3'!G242</f>
        <v>1295</v>
      </c>
      <c r="G241" s="65">
        <f>'Приложение 3'!H242</f>
        <v>253.27864</v>
      </c>
      <c r="H241" s="65">
        <f t="shared" si="3"/>
        <v>19.558196138996138</v>
      </c>
    </row>
    <row r="242" spans="1:8" ht="48" outlineLevel="3">
      <c r="A242" s="48" t="str">
        <f>'Приложение 3'!A243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2" s="80" t="str">
        <f>'Приложение 3'!C243</f>
        <v>0709</v>
      </c>
      <c r="C242" s="80" t="str">
        <f>'Приложение 3'!D243</f>
        <v>58</v>
      </c>
      <c r="D242" s="80">
        <f>'Приложение 3'!E243</f>
        <v>0</v>
      </c>
      <c r="E242" s="80">
        <f>'Приложение 3'!F243</f>
        <v>100</v>
      </c>
      <c r="F242" s="65">
        <f>'Приложение 3'!G243</f>
        <v>1240.2</v>
      </c>
      <c r="G242" s="65">
        <f>'Приложение 3'!H243</f>
        <v>253.27864</v>
      </c>
      <c r="H242" s="65">
        <f t="shared" si="3"/>
        <v>20.422402838251895</v>
      </c>
    </row>
    <row r="243" spans="1:8" ht="15" customHeight="1" outlineLevel="3">
      <c r="A243" s="48" t="str">
        <f>'Приложение 3'!A244</f>
        <v>Закупка товаров, работ и услуг для государственных (муниципальных) нужд</v>
      </c>
      <c r="B243" s="80" t="str">
        <f>'Приложение 3'!C244</f>
        <v>0709</v>
      </c>
      <c r="C243" s="80" t="str">
        <f>'Приложение 3'!D244</f>
        <v>58</v>
      </c>
      <c r="D243" s="80">
        <f>'Приложение 3'!E244</f>
        <v>0</v>
      </c>
      <c r="E243" s="80">
        <f>'Приложение 3'!F244</f>
        <v>200</v>
      </c>
      <c r="F243" s="65">
        <f>'Приложение 3'!G244</f>
        <v>54.8</v>
      </c>
      <c r="G243" s="65">
        <f>'Приложение 3'!H244</f>
        <v>0</v>
      </c>
      <c r="H243" s="65">
        <f t="shared" si="3"/>
        <v>0</v>
      </c>
    </row>
    <row r="244" spans="1:8" ht="12.75" outlineLevel="3">
      <c r="A244" s="48" t="str">
        <f>'Приложение 3'!A245</f>
        <v>Иные бюджетные ассигнования</v>
      </c>
      <c r="B244" s="80" t="str">
        <f>'Приложение 3'!C245</f>
        <v>0709</v>
      </c>
      <c r="C244" s="80" t="str">
        <f>'Приложение 3'!D245</f>
        <v>58</v>
      </c>
      <c r="D244" s="80">
        <f>'Приложение 3'!E245</f>
        <v>0</v>
      </c>
      <c r="E244" s="80">
        <f>'Приложение 3'!F245</f>
        <v>800</v>
      </c>
      <c r="F244" s="65">
        <f>'Приложение 3'!G245</f>
        <v>0</v>
      </c>
      <c r="G244" s="65">
        <f>'Приложение 3'!H245</f>
        <v>0</v>
      </c>
      <c r="H244" s="65" t="e">
        <f t="shared" si="3"/>
        <v>#DIV/0!</v>
      </c>
    </row>
    <row r="245" spans="1:8" ht="12.75" outlineLevel="3">
      <c r="A245" s="48" t="str">
        <f>'Приложение 3'!A246</f>
        <v>Культура, кинематография </v>
      </c>
      <c r="B245" s="80" t="str">
        <f>'Приложение 3'!C246</f>
        <v>0800</v>
      </c>
      <c r="C245" s="80"/>
      <c r="D245" s="80"/>
      <c r="E245" s="80"/>
      <c r="F245" s="65">
        <f>'Приложение 3'!G246</f>
        <v>33602.03</v>
      </c>
      <c r="G245" s="65">
        <f>'Приложение 3'!H246</f>
        <v>2728.04316</v>
      </c>
      <c r="H245" s="65">
        <f t="shared" si="3"/>
        <v>8.118685567508868</v>
      </c>
    </row>
    <row r="246" spans="1:8" ht="12" customHeight="1" outlineLevel="3">
      <c r="A246" s="48" t="str">
        <f>'Приложение 3'!A247</f>
        <v>Культура</v>
      </c>
      <c r="B246" s="80" t="str">
        <f>'Приложение 3'!C247</f>
        <v>0801</v>
      </c>
      <c r="C246" s="80"/>
      <c r="D246" s="80"/>
      <c r="E246" s="80"/>
      <c r="F246" s="65">
        <f>'Приложение 3'!G247</f>
        <v>31893.03</v>
      </c>
      <c r="G246" s="65">
        <f>'Приложение 3'!H247</f>
        <v>2405.41267</v>
      </c>
      <c r="H246" s="65">
        <f t="shared" si="3"/>
        <v>7.54212650851926</v>
      </c>
    </row>
    <row r="247" spans="1:8" ht="24" outlineLevel="3">
      <c r="A247" s="48" t="str">
        <f>'Приложение 3'!A248</f>
        <v>Муниципальная программа "Развитие культуры и искусства в Алексеевском муниципальном районе на 2021-2025 годы"</v>
      </c>
      <c r="B247" s="80" t="str">
        <f>'Приложение 3'!C248</f>
        <v>0801</v>
      </c>
      <c r="C247" s="80" t="str">
        <f>'Приложение 3'!D248</f>
        <v>06</v>
      </c>
      <c r="D247" s="80">
        <f>'Приложение 3'!E248</f>
        <v>0</v>
      </c>
      <c r="E247" s="80"/>
      <c r="F247" s="65">
        <f>'Приложение 3'!G248</f>
        <v>20202.03</v>
      </c>
      <c r="G247" s="65">
        <f>'Приложение 3'!H248</f>
        <v>0</v>
      </c>
      <c r="H247" s="65">
        <f t="shared" si="3"/>
        <v>0</v>
      </c>
    </row>
    <row r="248" spans="1:8" ht="24" outlineLevel="3">
      <c r="A248" s="48" t="str">
        <f>'Приложение 3'!A249</f>
        <v>Предоставление субсидий бюджетным, автономным учреждениям и иным некоммерческим организациям</v>
      </c>
      <c r="B248" s="80" t="str">
        <f>'Приложение 3'!C249</f>
        <v>0801</v>
      </c>
      <c r="C248" s="80" t="str">
        <f>'Приложение 3'!D249</f>
        <v>06</v>
      </c>
      <c r="D248" s="80">
        <f>'Приложение 3'!E249</f>
        <v>0</v>
      </c>
      <c r="E248" s="80">
        <f>'Приложение 3'!F249</f>
        <v>600</v>
      </c>
      <c r="F248" s="65">
        <f>'Приложение 3'!G249</f>
        <v>20000</v>
      </c>
      <c r="G248" s="65">
        <f>'Приложение 3'!H249</f>
        <v>0</v>
      </c>
      <c r="H248" s="65">
        <f t="shared" si="3"/>
        <v>0</v>
      </c>
    </row>
    <row r="249" spans="1:8" ht="86.25" customHeight="1" outlineLevel="3">
      <c r="A249" s="48" t="str">
        <f>'Приложение 3'!A250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49" s="80" t="str">
        <f>'Приложение 3'!C250</f>
        <v>0801</v>
      </c>
      <c r="C249" s="80" t="str">
        <f>'Приложение 3'!D250</f>
        <v>06</v>
      </c>
      <c r="D249" s="80">
        <f>'Приложение 3'!E250</f>
        <v>0</v>
      </c>
      <c r="E249" s="80">
        <f>'Приложение 3'!F250</f>
        <v>600</v>
      </c>
      <c r="F249" s="65">
        <f>'Приложение 3'!G250</f>
        <v>202.03</v>
      </c>
      <c r="G249" s="65">
        <f>'Приложение 3'!H250</f>
        <v>0</v>
      </c>
      <c r="H249" s="65">
        <f t="shared" si="3"/>
        <v>0</v>
      </c>
    </row>
    <row r="250" spans="1:8" ht="38.25" customHeight="1" outlineLevel="3">
      <c r="A250" s="48" t="str">
        <f>'Приложение 3'!A251</f>
        <v>Муниципальная программа "Развитие народных художественных промыслов Алексеевского муниципального района на 2019-2023 годы"</v>
      </c>
      <c r="B250" s="80" t="str">
        <f>'Приложение 3'!C251</f>
        <v>0801</v>
      </c>
      <c r="C250" s="80" t="str">
        <f>'Приложение 3'!D251</f>
        <v>12</v>
      </c>
      <c r="D250" s="80">
        <f>'Приложение 3'!E251</f>
        <v>0</v>
      </c>
      <c r="E250" s="80"/>
      <c r="F250" s="65">
        <f>'Приложение 3'!G251</f>
        <v>50</v>
      </c>
      <c r="G250" s="65">
        <f>'Приложение 3'!H251</f>
        <v>0</v>
      </c>
      <c r="H250" s="65">
        <f t="shared" si="3"/>
        <v>0</v>
      </c>
    </row>
    <row r="251" spans="1:8" ht="26.25" customHeight="1" outlineLevel="3">
      <c r="A251" s="48" t="str">
        <f>'Приложение 3'!A252</f>
        <v>Предоставление субсидий бюджетным, автономным учреждениям и иным некоммерческим организациям</v>
      </c>
      <c r="B251" s="80" t="str">
        <f>'Приложение 3'!C252</f>
        <v>0801</v>
      </c>
      <c r="C251" s="80" t="str">
        <f>'Приложение 3'!D252</f>
        <v>12</v>
      </c>
      <c r="D251" s="80">
        <f>'Приложение 3'!E252</f>
        <v>0</v>
      </c>
      <c r="E251" s="80">
        <f>'Приложение 3'!F252</f>
        <v>600</v>
      </c>
      <c r="F251" s="65">
        <f>'Приложение 3'!G252</f>
        <v>50</v>
      </c>
      <c r="G251" s="65">
        <f>'Приложение 3'!H252</f>
        <v>0</v>
      </c>
      <c r="H251" s="65">
        <f t="shared" si="3"/>
        <v>0</v>
      </c>
    </row>
    <row r="252" spans="1:8" ht="36" outlineLevel="3">
      <c r="A252" s="48" t="str">
        <f>'Приложение 3'!A253</f>
        <v>Муниципальная программа "О поддержке деятельности казачьих обществ Алексеевского муниципального района на 2019-2023 годы"</v>
      </c>
      <c r="B252" s="80" t="str">
        <f>'Приложение 3'!C253</f>
        <v>0801</v>
      </c>
      <c r="C252" s="80" t="str">
        <f>'Приложение 3'!D253</f>
        <v>13</v>
      </c>
      <c r="D252" s="80">
        <f>'Приложение 3'!E253</f>
        <v>0</v>
      </c>
      <c r="E252" s="80"/>
      <c r="F252" s="65">
        <f>'Приложение 3'!G253</f>
        <v>50</v>
      </c>
      <c r="G252" s="65">
        <f>'Приложение 3'!H253</f>
        <v>12.5</v>
      </c>
      <c r="H252" s="65">
        <f t="shared" si="3"/>
        <v>25</v>
      </c>
    </row>
    <row r="253" spans="1:8" ht="24" outlineLevel="3">
      <c r="A253" s="48" t="str">
        <f>'Приложение 3'!A254</f>
        <v>Предоставление субсидий бюджетным, автономным учреждениям и иным некоммерческим организациям</v>
      </c>
      <c r="B253" s="80" t="str">
        <f>'Приложение 3'!C254</f>
        <v>0801</v>
      </c>
      <c r="C253" s="80" t="str">
        <f>'Приложение 3'!D254</f>
        <v>13</v>
      </c>
      <c r="D253" s="80">
        <f>'Приложение 3'!E254</f>
        <v>0</v>
      </c>
      <c r="E253" s="80">
        <f>'Приложение 3'!F254</f>
        <v>600</v>
      </c>
      <c r="F253" s="65">
        <f>'Приложение 3'!G254</f>
        <v>50</v>
      </c>
      <c r="G253" s="65">
        <f>'Приложение 3'!H254</f>
        <v>12.5</v>
      </c>
      <c r="H253" s="65">
        <f t="shared" si="3"/>
        <v>25</v>
      </c>
    </row>
    <row r="254" spans="1:8" ht="27.75" customHeight="1" outlineLevel="3">
      <c r="A254" s="48" t="str">
        <f>'Приложение 3'!A255</f>
        <v>Непрограммные расходы органов местного самоуправления Алексеевского муниципального района</v>
      </c>
      <c r="B254" s="80" t="str">
        <f>'Приложение 3'!C255</f>
        <v>0801</v>
      </c>
      <c r="C254" s="80" t="str">
        <f>'Приложение 3'!D255</f>
        <v>99</v>
      </c>
      <c r="D254" s="80">
        <f>'Приложение 3'!E255</f>
        <v>0</v>
      </c>
      <c r="E254" s="80"/>
      <c r="F254" s="65">
        <f>'Приложение 3'!G255</f>
        <v>0</v>
      </c>
      <c r="G254" s="65">
        <f>'Приложение 3'!H255</f>
        <v>0</v>
      </c>
      <c r="H254" s="65" t="e">
        <f t="shared" si="3"/>
        <v>#DIV/0!</v>
      </c>
    </row>
    <row r="255" spans="1:8" ht="15" customHeight="1" outlineLevel="3">
      <c r="A255" s="48" t="str">
        <f>'Приложение 3'!A256</f>
        <v>Закупка товаров, работ и услуг для государственных (муниципальных) нужд</v>
      </c>
      <c r="B255" s="80" t="str">
        <f>'Приложение 3'!C256</f>
        <v>0801</v>
      </c>
      <c r="C255" s="80" t="str">
        <f>'Приложение 3'!D256</f>
        <v>99</v>
      </c>
      <c r="D255" s="80">
        <f>'Приложение 3'!E256</f>
        <v>0</v>
      </c>
      <c r="E255" s="80">
        <f>'Приложение 3'!F256</f>
        <v>200</v>
      </c>
      <c r="F255" s="65">
        <f>'Приложение 3'!G256</f>
        <v>0</v>
      </c>
      <c r="G255" s="65">
        <f>'Приложение 3'!H256</f>
        <v>0</v>
      </c>
      <c r="H255" s="65" t="e">
        <f t="shared" si="3"/>
        <v>#DIV/0!</v>
      </c>
    </row>
    <row r="256" spans="1:8" ht="36.75" customHeight="1" outlineLevel="1">
      <c r="A256" s="48" t="str">
        <f>'Приложение 3'!A257</f>
        <v>Ведомственная целевая программа "Развитие культуры и искусства в Алексеевском муниципальном районе на 2019-2021 годы"</v>
      </c>
      <c r="B256" s="80" t="str">
        <f>'Приложение 3'!C257</f>
        <v>0800</v>
      </c>
      <c r="C256" s="80" t="str">
        <f>'Приложение 3'!D257</f>
        <v>59</v>
      </c>
      <c r="D256" s="80">
        <f>'Приложение 3'!E257</f>
        <v>0</v>
      </c>
      <c r="E256" s="80"/>
      <c r="F256" s="65">
        <f>'Приложение 3'!G257</f>
        <v>13300</v>
      </c>
      <c r="G256" s="65">
        <f>'Приложение 3'!H257</f>
        <v>2715.54316</v>
      </c>
      <c r="H256" s="65">
        <f t="shared" si="3"/>
        <v>20.417617744360903</v>
      </c>
    </row>
    <row r="257" spans="1:8" ht="16.5" customHeight="1" outlineLevel="3">
      <c r="A257" s="48" t="str">
        <f>'Приложение 3'!A258</f>
        <v>Дворцы и дома культуры, другие учреждения культуры</v>
      </c>
      <c r="B257" s="80" t="str">
        <f>'Приложение 3'!C258</f>
        <v>0801</v>
      </c>
      <c r="C257" s="80" t="str">
        <f>'Приложение 3'!D258</f>
        <v>59</v>
      </c>
      <c r="D257" s="80">
        <f>'Приложение 3'!E258</f>
        <v>0</v>
      </c>
      <c r="E257" s="80"/>
      <c r="F257" s="65">
        <f>'Приложение 3'!G258</f>
        <v>8641</v>
      </c>
      <c r="G257" s="65">
        <f>'Приложение 3'!H258</f>
        <v>1867.55814</v>
      </c>
      <c r="H257" s="65">
        <f t="shared" si="3"/>
        <v>21.61275477375304</v>
      </c>
    </row>
    <row r="258" spans="1:8" ht="24" customHeight="1" outlineLevel="3">
      <c r="A258" s="48" t="str">
        <f>'Приложение 3'!A259</f>
        <v>Предоставление субсидий бюджетным, автономным учреждениям и иным некоммерческим организациям</v>
      </c>
      <c r="B258" s="80" t="str">
        <f>'Приложение 3'!C259</f>
        <v>0801</v>
      </c>
      <c r="C258" s="80" t="str">
        <f>'Приложение 3'!D259</f>
        <v>59</v>
      </c>
      <c r="D258" s="80">
        <f>'Приложение 3'!E259</f>
        <v>0</v>
      </c>
      <c r="E258" s="80">
        <f>'Приложение 3'!F259</f>
        <v>600</v>
      </c>
      <c r="F258" s="65">
        <f>'Приложение 3'!G259</f>
        <v>8641</v>
      </c>
      <c r="G258" s="65">
        <f>'Приложение 3'!H259</f>
        <v>1867.55814</v>
      </c>
      <c r="H258" s="65">
        <f t="shared" si="3"/>
        <v>21.61275477375304</v>
      </c>
    </row>
    <row r="259" spans="1:8" ht="14.25" customHeight="1" outlineLevel="3">
      <c r="A259" s="48" t="str">
        <f>'Приложение 3'!A260</f>
        <v>Музей</v>
      </c>
      <c r="B259" s="80" t="str">
        <f>'Приложение 3'!C260</f>
        <v>0801</v>
      </c>
      <c r="C259" s="80" t="str">
        <f>'Приложение 3'!D260</f>
        <v>59</v>
      </c>
      <c r="D259" s="80">
        <f>'Приложение 3'!E260</f>
        <v>0</v>
      </c>
      <c r="E259" s="80"/>
      <c r="F259" s="65">
        <f>'Приложение 3'!G260</f>
        <v>1593</v>
      </c>
      <c r="G259" s="65">
        <f>'Приложение 3'!H260</f>
        <v>269.55663</v>
      </c>
      <c r="H259" s="65">
        <f t="shared" si="3"/>
        <v>16.921320150659135</v>
      </c>
    </row>
    <row r="260" spans="1:8" ht="31.5" customHeight="1" outlineLevel="3">
      <c r="A260" s="48" t="str">
        <f>'Приложение 3'!A261</f>
        <v>Предоставление субсидий бюджетным, автономным учреждениям и иным некоммерческим организациям</v>
      </c>
      <c r="B260" s="80" t="str">
        <f>'Приложение 3'!C261</f>
        <v>0801</v>
      </c>
      <c r="C260" s="80" t="str">
        <f>'Приложение 3'!D261</f>
        <v>59</v>
      </c>
      <c r="D260" s="80">
        <f>'Приложение 3'!E261</f>
        <v>0</v>
      </c>
      <c r="E260" s="80">
        <f>'Приложение 3'!F261</f>
        <v>600</v>
      </c>
      <c r="F260" s="65">
        <f>'Приложение 3'!G261</f>
        <v>1593</v>
      </c>
      <c r="G260" s="65">
        <f>'Приложение 3'!H261</f>
        <v>269.55663</v>
      </c>
      <c r="H260" s="65">
        <f t="shared" si="3"/>
        <v>16.921320150659135</v>
      </c>
    </row>
    <row r="261" spans="1:8" ht="16.5" customHeight="1" outlineLevel="3">
      <c r="A261" s="48" t="str">
        <f>'Приложение 3'!A262</f>
        <v>Библиотеки</v>
      </c>
      <c r="B261" s="80" t="str">
        <f>'Приложение 3'!C262</f>
        <v>0801</v>
      </c>
      <c r="C261" s="80" t="str">
        <f>'Приложение 3'!D262</f>
        <v>59</v>
      </c>
      <c r="D261" s="80">
        <f>'Приложение 3'!E262</f>
        <v>0</v>
      </c>
      <c r="E261" s="80"/>
      <c r="F261" s="65">
        <f>'Приложение 3'!G262</f>
        <v>1357</v>
      </c>
      <c r="G261" s="65">
        <f>'Приложение 3'!H262</f>
        <v>255.7979</v>
      </c>
      <c r="H261" s="65">
        <f t="shared" si="3"/>
        <v>18.850250552689758</v>
      </c>
    </row>
    <row r="262" spans="1:8" ht="27" customHeight="1" outlineLevel="1">
      <c r="A262" s="48" t="str">
        <f>'Приложение 3'!A263</f>
        <v>Предоставление субсидий бюджетным, автономным учреждениям и иным некоммерческим организациям</v>
      </c>
      <c r="B262" s="80" t="str">
        <f>'Приложение 3'!C263</f>
        <v>0801</v>
      </c>
      <c r="C262" s="80" t="str">
        <f>'Приложение 3'!D263</f>
        <v>59</v>
      </c>
      <c r="D262" s="80">
        <f>'Приложение 3'!E263</f>
        <v>0</v>
      </c>
      <c r="E262" s="80">
        <f>'Приложение 3'!F263</f>
        <v>600</v>
      </c>
      <c r="F262" s="65">
        <f>'Приложение 3'!G263</f>
        <v>1357</v>
      </c>
      <c r="G262" s="65">
        <f>'Приложение 3'!H263</f>
        <v>255.7979</v>
      </c>
      <c r="H262" s="65">
        <f t="shared" si="3"/>
        <v>18.850250552689758</v>
      </c>
    </row>
    <row r="263" spans="1:8" ht="12" customHeight="1" outlineLevel="3">
      <c r="A263" s="48" t="str">
        <f>'Приложение 3'!A264</f>
        <v>Кинематография</v>
      </c>
      <c r="B263" s="80" t="str">
        <f>'Приложение 3'!C264</f>
        <v>0802</v>
      </c>
      <c r="C263" s="80" t="str">
        <f>'Приложение 3'!D264</f>
        <v>59</v>
      </c>
      <c r="D263" s="80">
        <f>'Приложение 3'!E264</f>
        <v>0</v>
      </c>
      <c r="E263" s="80"/>
      <c r="F263" s="65">
        <f>'Приложение 3'!G264</f>
        <v>267</v>
      </c>
      <c r="G263" s="65">
        <f>'Приложение 3'!H264</f>
        <v>48.20158</v>
      </c>
      <c r="H263" s="65">
        <f t="shared" si="3"/>
        <v>18.053026217228467</v>
      </c>
    </row>
    <row r="264" spans="1:8" ht="26.25" customHeight="1" outlineLevel="3">
      <c r="A264" s="48" t="str">
        <f>'Приложение 3'!A265</f>
        <v>Предоставление субсидий бюджетным, автономным учреждениям и иным некоммерческим организациям</v>
      </c>
      <c r="B264" s="80" t="str">
        <f>'Приложение 3'!C265</f>
        <v>0802</v>
      </c>
      <c r="C264" s="80" t="str">
        <f>'Приложение 3'!D265</f>
        <v>59</v>
      </c>
      <c r="D264" s="80">
        <f>'Приложение 3'!E265</f>
        <v>0</v>
      </c>
      <c r="E264" s="80">
        <f>'Приложение 3'!F265</f>
        <v>600</v>
      </c>
      <c r="F264" s="65">
        <f>'Приложение 3'!G265</f>
        <v>267</v>
      </c>
      <c r="G264" s="65">
        <f>'Приложение 3'!H265</f>
        <v>48.20158</v>
      </c>
      <c r="H264" s="65">
        <f t="shared" si="3"/>
        <v>18.053026217228467</v>
      </c>
    </row>
    <row r="265" spans="1:8" ht="12.75" outlineLevel="3">
      <c r="A265" s="48" t="str">
        <f>'Приложение 3'!A266</f>
        <v>Другие вопросы в области культуры, кинематографии </v>
      </c>
      <c r="B265" s="80" t="str">
        <f>'Приложение 3'!C266</f>
        <v>0804</v>
      </c>
      <c r="C265" s="80" t="str">
        <f>'Приложение 3'!D266</f>
        <v>59</v>
      </c>
      <c r="D265" s="80">
        <f>'Приложение 3'!E266</f>
        <v>0</v>
      </c>
      <c r="E265" s="80"/>
      <c r="F265" s="65">
        <f>'Приложение 3'!G266</f>
        <v>1442</v>
      </c>
      <c r="G265" s="65">
        <f>'Приложение 3'!H266</f>
        <v>274.42891</v>
      </c>
      <c r="H265" s="65">
        <f t="shared" si="3"/>
        <v>19.031131067961162</v>
      </c>
    </row>
    <row r="266" spans="1:8" ht="24" outlineLevel="3">
      <c r="A266" s="48" t="str">
        <f>'Приложение 3'!A267</f>
        <v>Предоставление субсидий бюджетным, автономным учреждениям и иным некоммерческим организациям</v>
      </c>
      <c r="B266" s="80" t="str">
        <f>'Приложение 3'!C267</f>
        <v>0804</v>
      </c>
      <c r="C266" s="80" t="str">
        <f>'Приложение 3'!D267</f>
        <v>59</v>
      </c>
      <c r="D266" s="80">
        <f>'Приложение 3'!E267</f>
        <v>0</v>
      </c>
      <c r="E266" s="80">
        <f>'Приложение 3'!F267</f>
        <v>600</v>
      </c>
      <c r="F266" s="65">
        <f>'Приложение 3'!G267</f>
        <v>1442</v>
      </c>
      <c r="G266" s="65">
        <f>'Приложение 3'!H267</f>
        <v>274.42891</v>
      </c>
      <c r="H266" s="65">
        <f aca="true" t="shared" si="4" ref="H266:H326">SUM(G266/F266)*100</f>
        <v>19.031131067961162</v>
      </c>
    </row>
    <row r="267" spans="1:8" ht="12.75" outlineLevel="3">
      <c r="A267" s="48" t="str">
        <f>'Приложение 3'!A268</f>
        <v>Здравоохранение</v>
      </c>
      <c r="B267" s="80" t="str">
        <f>'Приложение 3'!C268</f>
        <v>0900</v>
      </c>
      <c r="C267" s="80"/>
      <c r="D267" s="80"/>
      <c r="E267" s="80"/>
      <c r="F267" s="65">
        <f>'Приложение 3'!G268</f>
        <v>12.5</v>
      </c>
      <c r="G267" s="65">
        <f>'Приложение 3'!H268</f>
        <v>12.5</v>
      </c>
      <c r="H267" s="65">
        <f t="shared" si="4"/>
        <v>100</v>
      </c>
    </row>
    <row r="268" spans="1:8" ht="12.75" outlineLevel="3">
      <c r="A268" s="48" t="str">
        <f>'Приложение 3'!A269</f>
        <v>Амбулаторная помощь</v>
      </c>
      <c r="B268" s="80" t="str">
        <f>'Приложение 3'!C269</f>
        <v>0902</v>
      </c>
      <c r="C268" s="80"/>
      <c r="D268" s="80"/>
      <c r="E268" s="80"/>
      <c r="F268" s="65">
        <f>'Приложение 3'!G269</f>
        <v>12.5</v>
      </c>
      <c r="G268" s="65">
        <f>'Приложение 3'!H269</f>
        <v>12.5</v>
      </c>
      <c r="H268" s="65">
        <f t="shared" si="4"/>
        <v>100</v>
      </c>
    </row>
    <row r="269" spans="1:8" ht="36" outlineLevel="3">
      <c r="A269" s="48" t="str">
        <f>'Приложение 3'!A270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0" t="str">
        <f>'Приложение 3'!C270</f>
        <v>0902</v>
      </c>
      <c r="C269" s="80" t="str">
        <f>'Приложение 3'!D270</f>
        <v>02</v>
      </c>
      <c r="D269" s="80">
        <f>'Приложение 3'!E270</f>
        <v>0</v>
      </c>
      <c r="E269" s="80"/>
      <c r="F269" s="65">
        <f>'Приложение 3'!G270</f>
        <v>12.5</v>
      </c>
      <c r="G269" s="65">
        <f>'Приложение 3'!H270</f>
        <v>12.5</v>
      </c>
      <c r="H269" s="65">
        <f t="shared" si="4"/>
        <v>100</v>
      </c>
    </row>
    <row r="270" spans="1:8" ht="36">
      <c r="A270" s="48" t="str">
        <f>'Приложение 3'!A271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0" t="str">
        <f>'Приложение 3'!C271</f>
        <v>0902</v>
      </c>
      <c r="C270" s="80" t="str">
        <f>'Приложение 3'!D271</f>
        <v>02</v>
      </c>
      <c r="D270" s="80">
        <f>'Приложение 3'!E271</f>
        <v>3</v>
      </c>
      <c r="E270" s="80"/>
      <c r="F270" s="65">
        <f>'Приложение 3'!G271</f>
        <v>12.5</v>
      </c>
      <c r="G270" s="65">
        <f>'Приложение 3'!H271</f>
        <v>12.5</v>
      </c>
      <c r="H270" s="65">
        <f t="shared" si="4"/>
        <v>100</v>
      </c>
    </row>
    <row r="271" spans="1:8" s="15" customFormat="1" ht="24" outlineLevel="2">
      <c r="A271" s="48" t="str">
        <f>'Приложение 3'!A272</f>
        <v>Капитальные вложения в объекты государственной (муниципальной) собственности</v>
      </c>
      <c r="B271" s="80" t="str">
        <f>'Приложение 3'!C272</f>
        <v>0902</v>
      </c>
      <c r="C271" s="80" t="str">
        <f>'Приложение 3'!D272</f>
        <v>02</v>
      </c>
      <c r="D271" s="80">
        <f>'Приложение 3'!E272</f>
        <v>3</v>
      </c>
      <c r="E271" s="80">
        <f>'Приложение 3'!F272</f>
        <v>400</v>
      </c>
      <c r="F271" s="65">
        <f>'Приложение 3'!G272</f>
        <v>12.5</v>
      </c>
      <c r="G271" s="65">
        <f>'Приложение 3'!H272</f>
        <v>12.5</v>
      </c>
      <c r="H271" s="65">
        <f t="shared" si="4"/>
        <v>100</v>
      </c>
    </row>
    <row r="272" spans="1:8" s="15" customFormat="1" ht="15" customHeight="1" outlineLevel="2">
      <c r="A272" s="48" t="str">
        <f>'Приложение 3'!A273</f>
        <v>Социальная политика</v>
      </c>
      <c r="B272" s="80" t="str">
        <f>'Приложение 3'!C273</f>
        <v>1000</v>
      </c>
      <c r="C272" s="80"/>
      <c r="D272" s="80"/>
      <c r="E272" s="80"/>
      <c r="F272" s="65">
        <f>'Приложение 3'!G273</f>
        <v>28140.6</v>
      </c>
      <c r="G272" s="65">
        <f>'Приложение 3'!H273</f>
        <v>6909.92367</v>
      </c>
      <c r="H272" s="65">
        <f t="shared" si="4"/>
        <v>24.55499765463423</v>
      </c>
    </row>
    <row r="273" spans="1:8" s="15" customFormat="1" ht="15.75" customHeight="1" outlineLevel="2">
      <c r="A273" s="48" t="str">
        <f>'Приложение 3'!A274</f>
        <v>Доплаты к пенсии государственных служащих субъектов Российской Федерации и муниципальных служащих</v>
      </c>
      <c r="B273" s="80" t="str">
        <f>'Приложение 3'!C274</f>
        <v>1001</v>
      </c>
      <c r="C273" s="80"/>
      <c r="D273" s="80"/>
      <c r="E273" s="80"/>
      <c r="F273" s="65">
        <f>'Приложение 3'!G274</f>
        <v>4000</v>
      </c>
      <c r="G273" s="65">
        <f>'Приложение 3'!H274</f>
        <v>699.41798</v>
      </c>
      <c r="H273" s="65">
        <f t="shared" si="4"/>
        <v>17.4854495</v>
      </c>
    </row>
    <row r="274" spans="1:8" ht="15" customHeight="1" outlineLevel="3">
      <c r="A274" s="48" t="str">
        <f>'Приложение 3'!A275</f>
        <v>Непрограммные расходы органов местного самоуправления Алексеевского муниципального района</v>
      </c>
      <c r="B274" s="80" t="str">
        <f>'Приложение 3'!C275</f>
        <v>1001</v>
      </c>
      <c r="C274" s="80" t="str">
        <f>'Приложение 3'!D275</f>
        <v>99</v>
      </c>
      <c r="D274" s="80">
        <f>'Приложение 3'!E275</f>
        <v>0</v>
      </c>
      <c r="E274" s="80"/>
      <c r="F274" s="65">
        <f>'Приложение 3'!G275</f>
        <v>4000</v>
      </c>
      <c r="G274" s="65">
        <f>'Приложение 3'!H275</f>
        <v>699.41798</v>
      </c>
      <c r="H274" s="65">
        <f t="shared" si="4"/>
        <v>17.4854495</v>
      </c>
    </row>
    <row r="275" spans="1:8" s="15" customFormat="1" ht="12.75" outlineLevel="2">
      <c r="A275" s="48" t="str">
        <f>'Приложение 3'!A276</f>
        <v>Социальное обеспечение и иные выплаты населению</v>
      </c>
      <c r="B275" s="80" t="str">
        <f>'Приложение 3'!C276</f>
        <v>1001</v>
      </c>
      <c r="C275" s="80" t="str">
        <f>'Приложение 3'!D276</f>
        <v>99</v>
      </c>
      <c r="D275" s="80">
        <f>'Приложение 3'!E276</f>
        <v>0</v>
      </c>
      <c r="E275" s="80">
        <f>'Приложение 3'!F276</f>
        <v>300</v>
      </c>
      <c r="F275" s="65">
        <f>'Приложение 3'!G276</f>
        <v>4000</v>
      </c>
      <c r="G275" s="65">
        <f>'Приложение 3'!H276</f>
        <v>699.41798</v>
      </c>
      <c r="H275" s="65">
        <f t="shared" si="4"/>
        <v>17.4854495</v>
      </c>
    </row>
    <row r="276" spans="1:8" s="15" customFormat="1" ht="14.25" customHeight="1" outlineLevel="2">
      <c r="A276" s="48" t="str">
        <f>'Приложение 3'!A277</f>
        <v>Социальное обеспечение населения</v>
      </c>
      <c r="B276" s="80" t="str">
        <f>'Приложение 3'!C277</f>
        <v>1003</v>
      </c>
      <c r="C276" s="80"/>
      <c r="D276" s="80"/>
      <c r="E276" s="80"/>
      <c r="F276" s="65">
        <f>'Приложение 3'!G277</f>
        <v>14287.257</v>
      </c>
      <c r="G276" s="65">
        <f>'Приложение 3'!H277</f>
        <v>4541.0528</v>
      </c>
      <c r="H276" s="65">
        <f t="shared" si="4"/>
        <v>31.783937252616095</v>
      </c>
    </row>
    <row r="277" spans="1:8" s="15" customFormat="1" ht="29.25" customHeight="1" outlineLevel="2">
      <c r="A277" s="48" t="str">
        <f>'Приложение 3'!A278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0" t="str">
        <f>'Приложение 3'!C278</f>
        <v>1003</v>
      </c>
      <c r="C277" s="80" t="str">
        <f>'Приложение 3'!D278</f>
        <v>14</v>
      </c>
      <c r="D277" s="80">
        <f>'Приложение 3'!E278</f>
        <v>0</v>
      </c>
      <c r="E277" s="80"/>
      <c r="F277" s="65">
        <f>'Приложение 3'!G278</f>
        <v>500</v>
      </c>
      <c r="G277" s="65">
        <f>'Приложение 3'!H278</f>
        <v>130.63</v>
      </c>
      <c r="H277" s="65">
        <f t="shared" si="4"/>
        <v>26.125999999999998</v>
      </c>
    </row>
    <row r="278" spans="1:8" ht="12.75" outlineLevel="3">
      <c r="A278" s="48" t="str">
        <f>'Приложение 3'!A279</f>
        <v>Социальное обеспечение и иные выплаты населению</v>
      </c>
      <c r="B278" s="80" t="str">
        <f>'Приложение 3'!C279</f>
        <v>1003</v>
      </c>
      <c r="C278" s="80" t="str">
        <f>'Приложение 3'!D279</f>
        <v>14</v>
      </c>
      <c r="D278" s="80">
        <f>'Приложение 3'!E279</f>
        <v>0</v>
      </c>
      <c r="E278" s="80">
        <f>'Приложение 3'!F279</f>
        <v>300</v>
      </c>
      <c r="F278" s="65">
        <f>'Приложение 3'!G279</f>
        <v>500</v>
      </c>
      <c r="G278" s="65">
        <f>'Приложение 3'!H279</f>
        <v>130.63</v>
      </c>
      <c r="H278" s="65">
        <f t="shared" si="4"/>
        <v>26.125999999999998</v>
      </c>
    </row>
    <row r="279" spans="1:8" ht="14.25" customHeight="1" outlineLevel="1">
      <c r="A279" s="48" t="str">
        <f>'Приложение 3'!A280</f>
        <v>Непрограммные расходы органов местного самоуправления Алексеевского муниципального района</v>
      </c>
      <c r="B279" s="80" t="str">
        <f>'Приложение 3'!C280</f>
        <v>1003</v>
      </c>
      <c r="C279" s="80" t="str">
        <f>'Приложение 3'!D280</f>
        <v>99</v>
      </c>
      <c r="D279" s="80">
        <f>'Приложение 3'!E280</f>
        <v>0</v>
      </c>
      <c r="E279" s="80"/>
      <c r="F279" s="65">
        <f>'Приложение 3'!G280</f>
        <v>13787.257</v>
      </c>
      <c r="G279" s="65">
        <f>'Приложение 3'!H280</f>
        <v>4410.4228</v>
      </c>
      <c r="H279" s="65">
        <f t="shared" si="4"/>
        <v>31.9891244502079</v>
      </c>
    </row>
    <row r="280" spans="1:8" ht="77.25" customHeight="1" outlineLevel="1">
      <c r="A280" s="48" t="str">
        <f>'Приложение 3'!A281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0" t="str">
        <f>'Приложение 3'!C281</f>
        <v>1003</v>
      </c>
      <c r="C280" s="80" t="str">
        <f>'Приложение 3'!D281</f>
        <v>99</v>
      </c>
      <c r="D280" s="80">
        <f>'Приложение 3'!E281</f>
        <v>0</v>
      </c>
      <c r="E280" s="80"/>
      <c r="F280" s="65">
        <f>'Приложение 3'!G281</f>
        <v>9903.857</v>
      </c>
      <c r="G280" s="65">
        <f>'Приложение 3'!H281</f>
        <v>3565.0446</v>
      </c>
      <c r="H280" s="65">
        <f t="shared" si="4"/>
        <v>35.99652741351173</v>
      </c>
    </row>
    <row r="281" spans="1:8" ht="13.5" customHeight="1" outlineLevel="2">
      <c r="A281" s="48" t="str">
        <f>'Приложение 3'!A282</f>
        <v>Социальное обеспечение и иные выплаты населению</v>
      </c>
      <c r="B281" s="80" t="str">
        <f>'Приложение 3'!C282</f>
        <v>1003</v>
      </c>
      <c r="C281" s="80" t="str">
        <f>'Приложение 3'!D282</f>
        <v>99</v>
      </c>
      <c r="D281" s="80">
        <f>'Приложение 3'!E282</f>
        <v>0</v>
      </c>
      <c r="E281" s="80">
        <f>'Приложение 3'!F282</f>
        <v>300</v>
      </c>
      <c r="F281" s="65">
        <f>'Приложение 3'!G282</f>
        <v>9805.799</v>
      </c>
      <c r="G281" s="65">
        <f>'Приложение 3'!H282</f>
        <v>3529.74712</v>
      </c>
      <c r="H281" s="65">
        <f t="shared" si="4"/>
        <v>35.99652736100342</v>
      </c>
    </row>
    <row r="282" spans="1:8" ht="24.75" customHeight="1" outlineLevel="3">
      <c r="A282" s="48" t="str">
        <f>'Приложение 3'!A283</f>
        <v>Закупка товаров, работ и услуг для государственных (муниципальных) нужд</v>
      </c>
      <c r="B282" s="80" t="str">
        <f>'Приложение 3'!C283</f>
        <v>1003</v>
      </c>
      <c r="C282" s="80" t="str">
        <f>'Приложение 3'!D283</f>
        <v>99</v>
      </c>
      <c r="D282" s="80">
        <f>'Приложение 3'!E283</f>
        <v>0</v>
      </c>
      <c r="E282" s="80">
        <f>'Приложение 3'!F283</f>
        <v>200</v>
      </c>
      <c r="F282" s="65">
        <f>'Приложение 3'!G283</f>
        <v>98.05799999999999</v>
      </c>
      <c r="G282" s="65">
        <f>'Приложение 3'!H283</f>
        <v>35.29748</v>
      </c>
      <c r="H282" s="65">
        <f t="shared" si="4"/>
        <v>35.996532664341515</v>
      </c>
    </row>
    <row r="283" spans="1:8" ht="80.25" customHeight="1">
      <c r="A283" s="48" t="str">
        <f>'Приложение 3'!A284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0" t="str">
        <f>'Приложение 3'!C284</f>
        <v>1003</v>
      </c>
      <c r="C283" s="80" t="str">
        <f>'Приложение 3'!D284</f>
        <v>99</v>
      </c>
      <c r="D283" s="80">
        <f>'Приложение 3'!E284</f>
        <v>0</v>
      </c>
      <c r="E283" s="80">
        <f>'Приложение 3'!F284</f>
        <v>300</v>
      </c>
      <c r="F283" s="65">
        <f>'Приложение 3'!G284</f>
        <v>1111.3999999999999</v>
      </c>
      <c r="G283" s="65">
        <f>'Приложение 3'!H284</f>
        <v>129.66272</v>
      </c>
      <c r="H283" s="65">
        <f t="shared" si="4"/>
        <v>11.666611481014938</v>
      </c>
    </row>
    <row r="284" spans="1:8" ht="72" outlineLevel="1">
      <c r="A284" s="48" t="str">
        <f>'Приложение 3'!A285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0" t="str">
        <f>'Приложение 3'!C285</f>
        <v>1003</v>
      </c>
      <c r="C284" s="80" t="str">
        <f>'Приложение 3'!D285</f>
        <v>99</v>
      </c>
      <c r="D284" s="80">
        <f>'Приложение 3'!E285</f>
        <v>0</v>
      </c>
      <c r="E284" s="80">
        <f>'Приложение 3'!F285</f>
        <v>300</v>
      </c>
      <c r="F284" s="65">
        <f>'Приложение 3'!G285</f>
        <v>37.2</v>
      </c>
      <c r="G284" s="65">
        <f>'Приложение 3'!H285</f>
        <v>6</v>
      </c>
      <c r="H284" s="65">
        <f t="shared" si="4"/>
        <v>16.129032258064516</v>
      </c>
    </row>
    <row r="285" spans="1:8" ht="90" customHeight="1" outlineLevel="1">
      <c r="A285" s="48" t="str">
        <f>'Приложение 3'!A286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0" t="str">
        <f>'Приложение 3'!C286</f>
        <v>1003</v>
      </c>
      <c r="C285" s="80" t="str">
        <f>'Приложение 3'!D286</f>
        <v>99</v>
      </c>
      <c r="D285" s="80">
        <f>'Приложение 3'!E286</f>
        <v>0</v>
      </c>
      <c r="E285" s="80">
        <f>'Приложение 3'!F286</f>
        <v>300</v>
      </c>
      <c r="F285" s="65">
        <f>'Приложение 3'!G286</f>
        <v>2734.7999999999997</v>
      </c>
      <c r="G285" s="65">
        <f>'Приложение 3'!H286</f>
        <v>709.71548</v>
      </c>
      <c r="H285" s="65">
        <f t="shared" si="4"/>
        <v>25.95127541319292</v>
      </c>
    </row>
    <row r="286" spans="1:8" ht="12.75" outlineLevel="1">
      <c r="A286" s="48" t="str">
        <f>'Приложение 3'!A287</f>
        <v>Охрана семьи и детства</v>
      </c>
      <c r="B286" s="80" t="str">
        <f>'Приложение 3'!C287</f>
        <v>1004</v>
      </c>
      <c r="C286" s="80"/>
      <c r="D286" s="80"/>
      <c r="E286" s="80"/>
      <c r="F286" s="65">
        <f>'Приложение 3'!G287</f>
        <v>8774.9</v>
      </c>
      <c r="G286" s="65">
        <f>'Приложение 3'!H287</f>
        <v>1485.7</v>
      </c>
      <c r="H286" s="65">
        <f t="shared" si="4"/>
        <v>16.9312470797388</v>
      </c>
    </row>
    <row r="287" spans="1:8" ht="27" customHeight="1" hidden="1" outlineLevel="1">
      <c r="A287" s="48" t="str">
        <f>'Приложение 3'!A288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0" t="str">
        <f>'Приложение 3'!C288</f>
        <v>1004</v>
      </c>
      <c r="C287" s="80" t="str">
        <f>'Приложение 3'!D288</f>
        <v>11</v>
      </c>
      <c r="D287" s="80">
        <f>'Приложение 3'!E288</f>
        <v>0</v>
      </c>
      <c r="E287" s="80"/>
      <c r="F287" s="65">
        <f>'Приложение 3'!G288</f>
        <v>0</v>
      </c>
      <c r="G287" s="65">
        <f>'Приложение 3'!H288</f>
        <v>0</v>
      </c>
      <c r="H287" s="65" t="e">
        <f t="shared" si="4"/>
        <v>#DIV/0!</v>
      </c>
    </row>
    <row r="288" spans="1:8" ht="21.75" customHeight="1" hidden="1" outlineLevel="5">
      <c r="A288" s="48" t="str">
        <f>'Приложение 3'!A289</f>
        <v>Социальное обеспечение и иные выплаты населению</v>
      </c>
      <c r="B288" s="80" t="str">
        <f>'Приложение 3'!C289</f>
        <v>1004</v>
      </c>
      <c r="C288" s="80" t="str">
        <f>'Приложение 3'!D289</f>
        <v>11</v>
      </c>
      <c r="D288" s="80">
        <f>'Приложение 3'!E289</f>
        <v>0</v>
      </c>
      <c r="E288" s="80">
        <f>'Приложение 3'!F289</f>
        <v>300</v>
      </c>
      <c r="F288" s="65">
        <f>'Приложение 3'!G289</f>
        <v>0</v>
      </c>
      <c r="G288" s="65">
        <f>'Приложение 3'!H289</f>
        <v>0</v>
      </c>
      <c r="H288" s="65" t="e">
        <f t="shared" si="4"/>
        <v>#DIV/0!</v>
      </c>
    </row>
    <row r="289" spans="1:8" ht="16.5" customHeight="1" outlineLevel="5">
      <c r="A289" s="48" t="str">
        <f>'Приложение 3'!A290</f>
        <v>Непрограммные расходы органов местного самоуправления Алексеевского муниципального района</v>
      </c>
      <c r="B289" s="80" t="str">
        <f>'Приложение 3'!C290</f>
        <v>1004</v>
      </c>
      <c r="C289" s="80" t="str">
        <f>'Приложение 3'!D290</f>
        <v>99</v>
      </c>
      <c r="D289" s="80">
        <f>'Приложение 3'!E290</f>
        <v>0</v>
      </c>
      <c r="E289" s="80"/>
      <c r="F289" s="65">
        <f>'Приложение 3'!G290</f>
        <v>8774.9</v>
      </c>
      <c r="G289" s="65">
        <f>'Приложение 3'!H290</f>
        <v>1485.7</v>
      </c>
      <c r="H289" s="65">
        <f t="shared" si="4"/>
        <v>16.9312470797388</v>
      </c>
    </row>
    <row r="290" spans="1:8" ht="27" customHeight="1" outlineLevel="2">
      <c r="A290" s="48" t="str">
        <f>'Приложение 3'!A291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0" t="str">
        <f>'Приложение 3'!C291</f>
        <v>1004</v>
      </c>
      <c r="C290" s="80" t="str">
        <f>'Приложение 3'!D291</f>
        <v>99</v>
      </c>
      <c r="D290" s="80">
        <f>'Приложение 3'!E291</f>
        <v>0</v>
      </c>
      <c r="E290" s="80"/>
      <c r="F290" s="65">
        <f>'Приложение 3'!G291</f>
        <v>721.1999999999999</v>
      </c>
      <c r="G290" s="65">
        <f>'Приложение 3'!H291</f>
        <v>70</v>
      </c>
      <c r="H290" s="65">
        <f t="shared" si="4"/>
        <v>9.706045479755963</v>
      </c>
    </row>
    <row r="291" spans="1:8" ht="14.25" customHeight="1" outlineLevel="3">
      <c r="A291" s="48" t="str">
        <f>'Приложение 3'!A292</f>
        <v>Социальное обеспечение и иные выплаты населению</v>
      </c>
      <c r="B291" s="80" t="str">
        <f>'Приложение 3'!C292</f>
        <v>1004</v>
      </c>
      <c r="C291" s="80" t="str">
        <f>'Приложение 3'!D292</f>
        <v>99</v>
      </c>
      <c r="D291" s="80">
        <f>'Приложение 3'!E292</f>
        <v>0</v>
      </c>
      <c r="E291" s="80">
        <f>'Приложение 3'!F292</f>
        <v>300</v>
      </c>
      <c r="F291" s="65">
        <f>'Приложение 3'!G292</f>
        <v>714.06</v>
      </c>
      <c r="G291" s="65">
        <f>'Приложение 3'!H292</f>
        <v>69.30693</v>
      </c>
      <c r="H291" s="65">
        <f t="shared" si="4"/>
        <v>9.706037307789261</v>
      </c>
    </row>
    <row r="292" spans="1:8" ht="24" outlineLevel="2">
      <c r="A292" s="48" t="str">
        <f>'Приложение 3'!A293</f>
        <v>Закупка товаров, работ и услуг для государственных (муниципальных) нужд</v>
      </c>
      <c r="B292" s="80" t="str">
        <f>'Приложение 3'!C293</f>
        <v>1004</v>
      </c>
      <c r="C292" s="80" t="str">
        <f>'Приложение 3'!D293</f>
        <v>99</v>
      </c>
      <c r="D292" s="80">
        <f>'Приложение 3'!E293</f>
        <v>0</v>
      </c>
      <c r="E292" s="80">
        <f>'Приложение 3'!F293</f>
        <v>200</v>
      </c>
      <c r="F292" s="65">
        <f>'Приложение 3'!G293</f>
        <v>7.14</v>
      </c>
      <c r="G292" s="65">
        <f>'Приложение 3'!H293</f>
        <v>0.69307</v>
      </c>
      <c r="H292" s="65">
        <f t="shared" si="4"/>
        <v>9.70686274509804</v>
      </c>
    </row>
    <row r="293" spans="1:8" ht="41.25" customHeight="1" outlineLevel="3">
      <c r="A293" s="48" t="str">
        <f>'Приложение 3'!A294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0" t="str">
        <f>'Приложение 3'!C294</f>
        <v>1004</v>
      </c>
      <c r="C293" s="80" t="str">
        <f>'Приложение 3'!D294</f>
        <v>99</v>
      </c>
      <c r="D293" s="80">
        <f>'Приложение 3'!E294</f>
        <v>0</v>
      </c>
      <c r="E293" s="80"/>
      <c r="F293" s="65">
        <f>'Приложение 3'!G294</f>
        <v>8053.7</v>
      </c>
      <c r="G293" s="65">
        <f>'Приложение 3'!H294</f>
        <v>1415.7</v>
      </c>
      <c r="H293" s="65">
        <f t="shared" si="4"/>
        <v>17.57825595688938</v>
      </c>
    </row>
    <row r="294" spans="1:8" ht="17.25" customHeight="1" outlineLevel="3">
      <c r="A294" s="48" t="str">
        <f>'Приложение 3'!A295</f>
        <v>на выплату пособий по опеке и попечительству</v>
      </c>
      <c r="B294" s="80" t="str">
        <f>'Приложение 3'!C295</f>
        <v>1004</v>
      </c>
      <c r="C294" s="80" t="str">
        <f>'Приложение 3'!D295</f>
        <v>99</v>
      </c>
      <c r="D294" s="80">
        <f>'Приложение 3'!E295</f>
        <v>0</v>
      </c>
      <c r="E294" s="80">
        <f>'Приложение 3'!F295</f>
        <v>300</v>
      </c>
      <c r="F294" s="65">
        <f>'Приложение 3'!G295</f>
        <v>6293</v>
      </c>
      <c r="G294" s="65">
        <f>'Приложение 3'!H295</f>
        <v>1136.2</v>
      </c>
      <c r="H294" s="65">
        <f t="shared" si="4"/>
        <v>18.054981725727</v>
      </c>
    </row>
    <row r="295" spans="1:8" ht="27" customHeight="1" outlineLevel="3">
      <c r="A295" s="48" t="str">
        <f>'Приложение 3'!A296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0" t="str">
        <f>'Приложение 3'!C296</f>
        <v>1004</v>
      </c>
      <c r="C295" s="80" t="str">
        <f>'Приложение 3'!D296</f>
        <v>99</v>
      </c>
      <c r="D295" s="80">
        <f>'Приложение 3'!E296</f>
        <v>0</v>
      </c>
      <c r="E295" s="80">
        <f>'Приложение 3'!F296</f>
        <v>300</v>
      </c>
      <c r="F295" s="65">
        <f>'Приложение 3'!G296</f>
        <v>1760.6999999999998</v>
      </c>
      <c r="G295" s="65">
        <f>'Приложение 3'!H296</f>
        <v>279.5</v>
      </c>
      <c r="H295" s="65">
        <f t="shared" si="4"/>
        <v>15.874368149031637</v>
      </c>
    </row>
    <row r="296" spans="1:8" ht="21" customHeight="1" outlineLevel="3">
      <c r="A296" s="48" t="str">
        <f>'Приложение 3'!A297</f>
        <v>Другие вопросы в области социальной политики</v>
      </c>
      <c r="B296" s="80" t="str">
        <f>'Приложение 3'!C297</f>
        <v>1006</v>
      </c>
      <c r="C296" s="80">
        <f>'Приложение 3'!D297</f>
        <v>0</v>
      </c>
      <c r="D296" s="80">
        <f>'Приложение 3'!E297</f>
        <v>0</v>
      </c>
      <c r="E296" s="80">
        <f>'Приложение 3'!F297</f>
        <v>0</v>
      </c>
      <c r="F296" s="65">
        <f>'Приложение 3'!G297</f>
        <v>1078.443</v>
      </c>
      <c r="G296" s="65">
        <f>'Приложение 3'!H297</f>
        <v>183.75288999999998</v>
      </c>
      <c r="H296" s="65">
        <f t="shared" si="4"/>
        <v>17.038720637066586</v>
      </c>
    </row>
    <row r="297" spans="1:8" ht="28.5" customHeight="1" outlineLevel="3">
      <c r="A297" s="48" t="str">
        <f>'Приложение 3'!A298</f>
        <v>Непрограммные расходы органов местного самоуправления Алексеевского муниципального района</v>
      </c>
      <c r="B297" s="80" t="str">
        <f>'Приложение 3'!C298</f>
        <v>1006</v>
      </c>
      <c r="C297" s="80" t="str">
        <f>'Приложение 3'!D298</f>
        <v>99</v>
      </c>
      <c r="D297" s="80">
        <f>'Приложение 3'!E298</f>
        <v>0</v>
      </c>
      <c r="E297" s="80">
        <f>'Приложение 3'!F298</f>
        <v>0</v>
      </c>
      <c r="F297" s="65">
        <f>'Приложение 3'!G298</f>
        <v>1078.443</v>
      </c>
      <c r="G297" s="65">
        <f>'Приложение 3'!H298</f>
        <v>183.75288999999998</v>
      </c>
      <c r="H297" s="65">
        <f t="shared" si="4"/>
        <v>17.038720637066586</v>
      </c>
    </row>
    <row r="298" spans="1:8" ht="36.75" customHeight="1" outlineLevel="3">
      <c r="A298" s="48" t="str">
        <f>'Приложение 3'!A299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0" t="str">
        <f>'Приложение 3'!C299</f>
        <v>1006</v>
      </c>
      <c r="C298" s="80" t="str">
        <f>'Приложение 3'!D299</f>
        <v>99</v>
      </c>
      <c r="D298" s="80">
        <f>'Приложение 3'!E299</f>
        <v>0</v>
      </c>
      <c r="E298" s="80">
        <f>'Приложение 3'!F299</f>
        <v>0</v>
      </c>
      <c r="F298" s="65">
        <f>'Приложение 3'!G299</f>
        <v>1078.443</v>
      </c>
      <c r="G298" s="65">
        <f>'Приложение 3'!H299</f>
        <v>183.75288999999998</v>
      </c>
      <c r="H298" s="65">
        <f t="shared" si="4"/>
        <v>17.038720637066586</v>
      </c>
    </row>
    <row r="299" spans="1:8" ht="25.5" customHeight="1" outlineLevel="2">
      <c r="A299" s="48" t="str">
        <f>'Приложение 3'!A300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0" t="str">
        <f>'Приложение 3'!C300</f>
        <v>1006</v>
      </c>
      <c r="C299" s="80" t="str">
        <f>'Приложение 3'!D300</f>
        <v>99</v>
      </c>
      <c r="D299" s="80">
        <f>'Приложение 3'!E300</f>
        <v>0</v>
      </c>
      <c r="E299" s="80">
        <f>'Приложение 3'!F300</f>
        <v>100</v>
      </c>
      <c r="F299" s="65">
        <f>'Приложение 3'!G300</f>
        <v>977</v>
      </c>
      <c r="G299" s="65">
        <f>'Приложение 3'!H300</f>
        <v>181.73689</v>
      </c>
      <c r="H299" s="65">
        <f t="shared" si="4"/>
        <v>18.601524053224157</v>
      </c>
    </row>
    <row r="300" spans="1:8" ht="15.75" customHeight="1" outlineLevel="2">
      <c r="A300" s="48" t="str">
        <f>'Приложение 3'!A301</f>
        <v>Закупка товаров, работ и услуг для государственных (муниципальных) нужд</v>
      </c>
      <c r="B300" s="80" t="str">
        <f>'Приложение 3'!C301</f>
        <v>1006</v>
      </c>
      <c r="C300" s="80" t="str">
        <f>'Приложение 3'!D301</f>
        <v>99</v>
      </c>
      <c r="D300" s="80">
        <f>'Приложение 3'!E301</f>
        <v>0</v>
      </c>
      <c r="E300" s="80">
        <f>'Приложение 3'!F301</f>
        <v>200</v>
      </c>
      <c r="F300" s="65">
        <f>'Приложение 3'!G301</f>
        <v>101.44300000000001</v>
      </c>
      <c r="G300" s="65">
        <f>'Приложение 3'!H301</f>
        <v>2.016</v>
      </c>
      <c r="H300" s="65">
        <f t="shared" si="4"/>
        <v>1.9873229301183915</v>
      </c>
    </row>
    <row r="301" spans="1:8" ht="15.75" customHeight="1" outlineLevel="2">
      <c r="A301" s="48" t="str">
        <f>'Приложение 3'!A302</f>
        <v>Физическая культура и спорт</v>
      </c>
      <c r="B301" s="80" t="str">
        <f>'Приложение 3'!C302</f>
        <v>1100</v>
      </c>
      <c r="C301" s="80"/>
      <c r="D301" s="80"/>
      <c r="E301" s="80"/>
      <c r="F301" s="65">
        <f>'Приложение 3'!G302</f>
        <v>704.08164</v>
      </c>
      <c r="G301" s="65">
        <f>'Приложение 3'!H302</f>
        <v>47.1258</v>
      </c>
      <c r="H301" s="65">
        <f t="shared" si="4"/>
        <v>6.693229495374996</v>
      </c>
    </row>
    <row r="302" spans="1:8" ht="15.75" customHeight="1" hidden="1" outlineLevel="2">
      <c r="A302" s="48" t="str">
        <f>'Приложение 3'!A303</f>
        <v>Физическая культура </v>
      </c>
      <c r="B302" s="80" t="str">
        <f>'Приложение 3'!C303</f>
        <v>1101</v>
      </c>
      <c r="C302" s="80"/>
      <c r="D302" s="80"/>
      <c r="E302" s="80"/>
      <c r="F302" s="65">
        <f>'Приложение 3'!G303</f>
        <v>0</v>
      </c>
      <c r="G302" s="65">
        <f>'Приложение 3'!H303</f>
        <v>0</v>
      </c>
      <c r="H302" s="65" t="e">
        <f t="shared" si="4"/>
        <v>#DIV/0!</v>
      </c>
    </row>
    <row r="303" spans="1:8" ht="26.25" customHeight="1" hidden="1" outlineLevel="2">
      <c r="A303" s="48" t="str">
        <f>'Приложение 3'!A304</f>
        <v>Муниципальная программа "Комплексное развитие сельских территорий"</v>
      </c>
      <c r="B303" s="80" t="str">
        <f>'Приложение 3'!C304</f>
        <v>1101</v>
      </c>
      <c r="C303" s="80" t="str">
        <f>'Приложение 3'!D304</f>
        <v>03</v>
      </c>
      <c r="D303" s="80">
        <f>'Приложение 3'!E304</f>
        <v>0</v>
      </c>
      <c r="E303" s="80"/>
      <c r="F303" s="65">
        <f>'Приложение 3'!G304</f>
        <v>0</v>
      </c>
      <c r="G303" s="65">
        <f>'Приложение 3'!H304</f>
        <v>0</v>
      </c>
      <c r="H303" s="65" t="e">
        <f t="shared" si="4"/>
        <v>#DIV/0!</v>
      </c>
    </row>
    <row r="304" spans="1:8" ht="15.75" customHeight="1" hidden="1" outlineLevel="2">
      <c r="A304" s="48" t="str">
        <f>'Приложение 3'!A305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0" t="str">
        <f>'Приложение 3'!C305</f>
        <v>1101</v>
      </c>
      <c r="C304" s="80" t="str">
        <f>'Приложение 3'!D305</f>
        <v>03</v>
      </c>
      <c r="D304" s="80">
        <f>'Приложение 3'!E305</f>
        <v>0</v>
      </c>
      <c r="E304" s="80">
        <f>'Приложение 3'!F305</f>
        <v>400</v>
      </c>
      <c r="F304" s="65">
        <f>'Приложение 3'!G305</f>
        <v>0</v>
      </c>
      <c r="G304" s="65">
        <f>'Приложение 3'!H305</f>
        <v>0</v>
      </c>
      <c r="H304" s="65" t="e">
        <f t="shared" si="4"/>
        <v>#DIV/0!</v>
      </c>
    </row>
    <row r="305" spans="1:8" ht="15.75" customHeight="1" hidden="1" outlineLevel="2">
      <c r="A305" s="48" t="str">
        <f>'Приложение 3'!A306</f>
        <v>Капитальные вложения в объекты государственной (муниципальной) собственности (софинансирование)</v>
      </c>
      <c r="B305" s="80" t="str">
        <f>'Приложение 3'!C306</f>
        <v>1101</v>
      </c>
      <c r="C305" s="80" t="str">
        <f>'Приложение 3'!D306</f>
        <v>03</v>
      </c>
      <c r="D305" s="80">
        <f>'Приложение 3'!E306</f>
        <v>0</v>
      </c>
      <c r="E305" s="80">
        <f>'Приложение 3'!F306</f>
        <v>400</v>
      </c>
      <c r="F305" s="65">
        <f>'Приложение 3'!G306</f>
        <v>0</v>
      </c>
      <c r="G305" s="65">
        <f>'Приложение 3'!H306</f>
        <v>0</v>
      </c>
      <c r="H305" s="65" t="e">
        <f t="shared" si="4"/>
        <v>#DIV/0!</v>
      </c>
    </row>
    <row r="306" spans="1:8" ht="12.75" outlineLevel="2">
      <c r="A306" s="48" t="str">
        <f>'Приложение 3'!A307</f>
        <v>Массовый спорт</v>
      </c>
      <c r="B306" s="80" t="str">
        <f>'Приложение 3'!C307</f>
        <v>1102</v>
      </c>
      <c r="C306" s="80"/>
      <c r="D306" s="80"/>
      <c r="E306" s="80"/>
      <c r="F306" s="65">
        <f>'Приложение 3'!G307</f>
        <v>204.08164</v>
      </c>
      <c r="G306" s="65">
        <f>'Приложение 3'!H307</f>
        <v>0</v>
      </c>
      <c r="H306" s="65">
        <f t="shared" si="4"/>
        <v>0</v>
      </c>
    </row>
    <row r="307" spans="1:8" ht="36" outlineLevel="2">
      <c r="A307" s="48" t="str">
        <f>'Приложение 3'!A308</f>
        <v>Муниципальная программа "Развитие физической культуры и спорта в Алексеевском муниципальном районе на 2019-2023 годы"</v>
      </c>
      <c r="B307" s="80" t="str">
        <f>'Приложение 3'!C308</f>
        <v>1102</v>
      </c>
      <c r="C307" s="80" t="str">
        <f>'Приложение 3'!D308</f>
        <v>17</v>
      </c>
      <c r="D307" s="80">
        <f>'Приложение 3'!E308</f>
        <v>0</v>
      </c>
      <c r="E307" s="80"/>
      <c r="F307" s="65">
        <f>'Приложение 3'!G308</f>
        <v>204.08164</v>
      </c>
      <c r="G307" s="65">
        <f>'Приложение 3'!H308</f>
        <v>0</v>
      </c>
      <c r="H307" s="65">
        <f t="shared" si="4"/>
        <v>0</v>
      </c>
    </row>
    <row r="308" spans="1:8" ht="36" outlineLevel="2">
      <c r="A308" s="48" t="str">
        <f>'Приложение 3'!A309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08" s="80" t="str">
        <f>'Приложение 3'!C309</f>
        <v>1102</v>
      </c>
      <c r="C308" s="80" t="str">
        <f>'Приложение 3'!D309</f>
        <v>17</v>
      </c>
      <c r="D308" s="80">
        <f>'Приложение 3'!E309</f>
        <v>0</v>
      </c>
      <c r="E308" s="80">
        <f>'Приложение 3'!F309</f>
        <v>400</v>
      </c>
      <c r="F308" s="65">
        <f>'Приложение 3'!G309</f>
        <v>200</v>
      </c>
      <c r="G308" s="65">
        <f>'Приложение 3'!H309</f>
        <v>0</v>
      </c>
      <c r="H308" s="65">
        <f t="shared" si="4"/>
        <v>0</v>
      </c>
    </row>
    <row r="309" spans="1:8" ht="24" outlineLevel="3">
      <c r="A309" s="48" t="str">
        <f>'Приложение 3'!A310</f>
        <v>Капитальные вложения в объекты государственной (муниципальной) собственности</v>
      </c>
      <c r="B309" s="80" t="str">
        <f>'Приложение 3'!C310</f>
        <v>1102</v>
      </c>
      <c r="C309" s="80" t="str">
        <f>'Приложение 3'!D310</f>
        <v>17</v>
      </c>
      <c r="D309" s="80">
        <f>'Приложение 3'!E310</f>
        <v>0</v>
      </c>
      <c r="E309" s="80">
        <f>'Приложение 3'!F310</f>
        <v>400</v>
      </c>
      <c r="F309" s="65">
        <f>'Приложение 3'!G310</f>
        <v>4.08164</v>
      </c>
      <c r="G309" s="65">
        <f>'Приложение 3'!H310</f>
        <v>0</v>
      </c>
      <c r="H309" s="65">
        <f t="shared" si="4"/>
        <v>0</v>
      </c>
    </row>
    <row r="310" spans="1:8" ht="19.5" customHeight="1" outlineLevel="3">
      <c r="A310" s="48" t="str">
        <f>'Приложение 3'!A311</f>
        <v>Другие вопросы в области физической культуры и спорта</v>
      </c>
      <c r="B310" s="80" t="str">
        <f>'Приложение 3'!C311</f>
        <v>1105</v>
      </c>
      <c r="C310" s="80"/>
      <c r="D310" s="80"/>
      <c r="E310" s="80"/>
      <c r="F310" s="65">
        <f>'Приложение 3'!G311</f>
        <v>500</v>
      </c>
      <c r="G310" s="65">
        <f>'Приложение 3'!H311</f>
        <v>47.1258</v>
      </c>
      <c r="H310" s="65">
        <f t="shared" si="4"/>
        <v>9.425159999999998</v>
      </c>
    </row>
    <row r="311" spans="1:8" ht="16.5" customHeight="1" outlineLevel="3">
      <c r="A311" s="48" t="str">
        <f>'Приложение 3'!A312</f>
        <v>Муниципальная программа "Развитие физической культуры и спорта в Алексеевском муниципальном районе на 2019-2023 годы"</v>
      </c>
      <c r="B311" s="80" t="str">
        <f>'Приложение 3'!C312</f>
        <v>1105</v>
      </c>
      <c r="C311" s="80" t="str">
        <f>'Приложение 3'!D312</f>
        <v>17</v>
      </c>
      <c r="D311" s="80">
        <f>'Приложение 3'!E312</f>
        <v>0</v>
      </c>
      <c r="E311" s="80"/>
      <c r="F311" s="65">
        <f>'Приложение 3'!G312</f>
        <v>500</v>
      </c>
      <c r="G311" s="65">
        <f>'Приложение 3'!H312</f>
        <v>47.1258</v>
      </c>
      <c r="H311" s="65">
        <f t="shared" si="4"/>
        <v>9.425159999999998</v>
      </c>
    </row>
    <row r="312" spans="1:8" ht="13.5" customHeight="1" outlineLevel="3">
      <c r="A312" s="48" t="str">
        <f>'Приложение 3'!A313</f>
        <v>Закупка товаров, работ и услуг для государственных (муниципальных) нужд</v>
      </c>
      <c r="B312" s="80" t="str">
        <f>'Приложение 3'!C313</f>
        <v>1105</v>
      </c>
      <c r="C312" s="80" t="str">
        <f>'Приложение 3'!D313</f>
        <v>17</v>
      </c>
      <c r="D312" s="80">
        <f>'Приложение 3'!E313</f>
        <v>0</v>
      </c>
      <c r="E312" s="80">
        <f>'Приложение 3'!F313</f>
        <v>200</v>
      </c>
      <c r="F312" s="65">
        <f>'Приложение 3'!G313</f>
        <v>500</v>
      </c>
      <c r="G312" s="65">
        <f>'Приложение 3'!H313</f>
        <v>47.1258</v>
      </c>
      <c r="H312" s="65">
        <f t="shared" si="4"/>
        <v>9.425159999999998</v>
      </c>
    </row>
    <row r="313" spans="1:8" ht="12.75" outlineLevel="1">
      <c r="A313" s="48" t="str">
        <f>'Приложение 3'!A314</f>
        <v>Средства массовой информации </v>
      </c>
      <c r="B313" s="80" t="str">
        <f>'Приложение 3'!C314</f>
        <v>1200</v>
      </c>
      <c r="C313" s="80"/>
      <c r="D313" s="80"/>
      <c r="E313" s="80"/>
      <c r="F313" s="65">
        <f>'Приложение 3'!G314</f>
        <v>2271.5</v>
      </c>
      <c r="G313" s="65">
        <f>'Приложение 3'!H314</f>
        <v>605</v>
      </c>
      <c r="H313" s="65">
        <f t="shared" si="4"/>
        <v>26.634382566585955</v>
      </c>
    </row>
    <row r="314" spans="1:8" ht="16.5" customHeight="1" outlineLevel="2">
      <c r="A314" s="48" t="str">
        <f>'Приложение 3'!A315</f>
        <v>Периодическая печать и издательство</v>
      </c>
      <c r="B314" s="80" t="str">
        <f>'Приложение 3'!C315</f>
        <v>1202</v>
      </c>
      <c r="C314" s="80"/>
      <c r="D314" s="80"/>
      <c r="E314" s="80"/>
      <c r="F314" s="65">
        <f>'Приложение 3'!G315</f>
        <v>2271.5</v>
      </c>
      <c r="G314" s="65">
        <f>'Приложение 3'!H315</f>
        <v>605</v>
      </c>
      <c r="H314" s="65">
        <f t="shared" si="4"/>
        <v>26.634382566585955</v>
      </c>
    </row>
    <row r="315" spans="1:8" ht="36" outlineLevel="2">
      <c r="A315" s="48" t="str">
        <f>'Приложение 3'!A316</f>
        <v>Ведомственная целевая программа "Поддержка средств массовой информации в Алексеевском муниципальном районе на 2019-2021 годы"</v>
      </c>
      <c r="B315" s="80" t="str">
        <f>'Приложение 3'!C316</f>
        <v>1202</v>
      </c>
      <c r="C315" s="80" t="str">
        <f>'Приложение 3'!D316</f>
        <v>61</v>
      </c>
      <c r="D315" s="80">
        <f>'Приложение 3'!E316</f>
        <v>0</v>
      </c>
      <c r="E315" s="80"/>
      <c r="F315" s="65">
        <f>'Приложение 3'!G316</f>
        <v>2271.5</v>
      </c>
      <c r="G315" s="65">
        <f>'Приложение 3'!H316</f>
        <v>605</v>
      </c>
      <c r="H315" s="65">
        <f t="shared" si="4"/>
        <v>26.634382566585955</v>
      </c>
    </row>
    <row r="316" spans="1:8" ht="24" outlineLevel="5">
      <c r="A316" s="48" t="str">
        <f>'Приложение 3'!A317</f>
        <v>Предоставление субсидий бюджетным, автономным учреждениям и иным некоммерческим организациям</v>
      </c>
      <c r="B316" s="80" t="str">
        <f>'Приложение 3'!C317</f>
        <v>1202</v>
      </c>
      <c r="C316" s="80" t="str">
        <f>'Приложение 3'!D317</f>
        <v>61</v>
      </c>
      <c r="D316" s="80">
        <f>'Приложение 3'!E317</f>
        <v>0</v>
      </c>
      <c r="E316" s="80">
        <f>'Приложение 3'!F317</f>
        <v>600</v>
      </c>
      <c r="F316" s="65">
        <f>'Приложение 3'!G317</f>
        <v>1200</v>
      </c>
      <c r="G316" s="65">
        <f>'Приложение 3'!H317</f>
        <v>605</v>
      </c>
      <c r="H316" s="65">
        <f t="shared" si="4"/>
        <v>50.416666666666664</v>
      </c>
    </row>
    <row r="317" spans="1:8" ht="96" outlineLevel="5">
      <c r="A317" s="48" t="str">
        <f>'Приложение 3'!A318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0" t="str">
        <f>'Приложение 3'!C318</f>
        <v>1202</v>
      </c>
      <c r="C317" s="80" t="str">
        <f>'Приложение 3'!D318</f>
        <v>61</v>
      </c>
      <c r="D317" s="80">
        <f>'Приложение 3'!E318</f>
        <v>0</v>
      </c>
      <c r="E317" s="80">
        <f>'Приложение 3'!F318</f>
        <v>600</v>
      </c>
      <c r="F317" s="65">
        <f>'Приложение 3'!G318</f>
        <v>1071.5</v>
      </c>
      <c r="G317" s="65">
        <f>'Приложение 3'!H318</f>
        <v>0</v>
      </c>
      <c r="H317" s="65">
        <f t="shared" si="4"/>
        <v>0</v>
      </c>
    </row>
    <row r="318" spans="1:8" ht="21" customHeight="1" outlineLevel="5">
      <c r="A318" s="48" t="str">
        <f>'Приложение 3'!A319</f>
        <v>Обслуживание государственного и муниципального долга </v>
      </c>
      <c r="B318" s="80" t="str">
        <f>'Приложение 3'!C319</f>
        <v>1300</v>
      </c>
      <c r="C318" s="80"/>
      <c r="D318" s="80"/>
      <c r="E318" s="80"/>
      <c r="F318" s="65">
        <f>'Приложение 3'!G319</f>
        <v>0</v>
      </c>
      <c r="G318" s="65">
        <f>'Приложение 3'!H319</f>
        <v>0</v>
      </c>
      <c r="H318" s="65" t="e">
        <f t="shared" si="4"/>
        <v>#DIV/0!</v>
      </c>
    </row>
    <row r="319" spans="1:8" ht="24" outlineLevel="5">
      <c r="A319" s="48" t="str">
        <f>'Приложение 3'!A320</f>
        <v>Обслуживание государственного внутреннего и муниципального долга</v>
      </c>
      <c r="B319" s="80" t="str">
        <f>'Приложение 3'!C320</f>
        <v>1301</v>
      </c>
      <c r="C319" s="80"/>
      <c r="D319" s="80"/>
      <c r="E319" s="80"/>
      <c r="F319" s="65">
        <f>'Приложение 3'!G320</f>
        <v>0</v>
      </c>
      <c r="G319" s="65">
        <f>'Приложение 3'!H320</f>
        <v>0</v>
      </c>
      <c r="H319" s="65" t="e">
        <f t="shared" si="4"/>
        <v>#DIV/0!</v>
      </c>
    </row>
    <row r="320" spans="1:8" ht="24" outlineLevel="5">
      <c r="A320" s="48" t="str">
        <f>'Приложение 3'!A321</f>
        <v>Непрограммные расходы органов местного самоуправления Алексеевского муниципального района</v>
      </c>
      <c r="B320" s="80" t="str">
        <f>'Приложение 3'!C321</f>
        <v>1301</v>
      </c>
      <c r="C320" s="80" t="str">
        <f>'Приложение 3'!D321</f>
        <v>99</v>
      </c>
      <c r="D320" s="80">
        <f>'Приложение 3'!E321</f>
        <v>0</v>
      </c>
      <c r="E320" s="80"/>
      <c r="F320" s="65">
        <f>'Приложение 3'!G321</f>
        <v>0</v>
      </c>
      <c r="G320" s="65">
        <f>'Приложение 3'!H321</f>
        <v>0</v>
      </c>
      <c r="H320" s="65" t="e">
        <f t="shared" si="4"/>
        <v>#DIV/0!</v>
      </c>
    </row>
    <row r="321" spans="1:8" ht="12.75" outlineLevel="5">
      <c r="A321" s="48" t="str">
        <f>'Приложение 3'!A322</f>
        <v>Обслуживание государственного (муниципального) долга </v>
      </c>
      <c r="B321" s="80" t="str">
        <f>'Приложение 3'!C322</f>
        <v>1301</v>
      </c>
      <c r="C321" s="80" t="str">
        <f>'Приложение 3'!D322</f>
        <v>99</v>
      </c>
      <c r="D321" s="80">
        <f>'Приложение 3'!E322</f>
        <v>0</v>
      </c>
      <c r="E321" s="80">
        <f>'Приложение 3'!F322</f>
        <v>700</v>
      </c>
      <c r="F321" s="65">
        <f>'Приложение 3'!G322</f>
        <v>0</v>
      </c>
      <c r="G321" s="65">
        <f>'Приложение 3'!H322</f>
        <v>0</v>
      </c>
      <c r="H321" s="65" t="e">
        <f t="shared" si="4"/>
        <v>#DIV/0!</v>
      </c>
    </row>
    <row r="322" spans="1:8" ht="30.75" customHeight="1" outlineLevel="5">
      <c r="A322" s="48" t="str">
        <f>'Приложение 3'!A323</f>
        <v>Межбюджетные трансферты общего характера бюджетам бюджетной системы Российской Федерации</v>
      </c>
      <c r="B322" s="80" t="str">
        <f>'Приложение 3'!C323</f>
        <v>1400</v>
      </c>
      <c r="C322" s="80"/>
      <c r="D322" s="80"/>
      <c r="E322" s="80"/>
      <c r="F322" s="65">
        <f>'Приложение 3'!G323</f>
        <v>15643.5</v>
      </c>
      <c r="G322" s="65">
        <f>'Приложение 3'!H323</f>
        <v>0</v>
      </c>
      <c r="H322" s="65">
        <f t="shared" si="4"/>
        <v>0</v>
      </c>
    </row>
    <row r="323" spans="1:8" ht="18.75" customHeight="1" outlineLevel="5">
      <c r="A323" s="48" t="str">
        <f>'Приложение 3'!A324</f>
        <v>Прочие межбюджетные трансферты общего характера</v>
      </c>
      <c r="B323" s="80" t="str">
        <f>'Приложение 3'!C324</f>
        <v>1403</v>
      </c>
      <c r="C323" s="80"/>
      <c r="D323" s="80"/>
      <c r="E323" s="80"/>
      <c r="F323" s="65">
        <f>'Приложение 3'!G324</f>
        <v>15643.5</v>
      </c>
      <c r="G323" s="65">
        <f>'Приложение 3'!H324</f>
        <v>0</v>
      </c>
      <c r="H323" s="65">
        <f t="shared" si="4"/>
        <v>0</v>
      </c>
    </row>
    <row r="324" spans="1:8" ht="17.25" customHeight="1" outlineLevel="5">
      <c r="A324" s="48" t="str">
        <f>'Приложение 3'!A325</f>
        <v>Непрограммные расходы органов местного самоуправления Алексеевского муниципального района</v>
      </c>
      <c r="B324" s="80" t="str">
        <f>'Приложение 3'!C325</f>
        <v>1403</v>
      </c>
      <c r="C324" s="80" t="str">
        <f>'Приложение 3'!D325</f>
        <v>99</v>
      </c>
      <c r="D324" s="80">
        <f>'Приложение 3'!E325</f>
        <v>0</v>
      </c>
      <c r="E324" s="80"/>
      <c r="F324" s="65">
        <f>'Приложение 3'!G325</f>
        <v>15643.5</v>
      </c>
      <c r="G324" s="65">
        <f>'Приложение 3'!H325</f>
        <v>0</v>
      </c>
      <c r="H324" s="65">
        <f t="shared" si="4"/>
        <v>0</v>
      </c>
    </row>
    <row r="325" spans="1:8" ht="12.75">
      <c r="A325" s="48" t="str">
        <f>'Приложение 3'!A326</f>
        <v>Межбюджетные трансферты</v>
      </c>
      <c r="B325" s="80" t="str">
        <f>'Приложение 3'!C326</f>
        <v>1403</v>
      </c>
      <c r="C325" s="80" t="str">
        <f>'Приложение 3'!D326</f>
        <v>99</v>
      </c>
      <c r="D325" s="80">
        <f>'Приложение 3'!E326</f>
        <v>0</v>
      </c>
      <c r="E325" s="80">
        <f>'Приложение 3'!F326</f>
        <v>500</v>
      </c>
      <c r="F325" s="65">
        <f>'Приложение 3'!G326</f>
        <v>15643.5</v>
      </c>
      <c r="G325" s="65">
        <f>'Приложение 3'!H326</f>
        <v>0</v>
      </c>
      <c r="H325" s="65">
        <f t="shared" si="4"/>
        <v>0</v>
      </c>
    </row>
    <row r="326" spans="1:8" ht="12.75">
      <c r="A326" s="48" t="str">
        <f>'Приложение 3'!A327</f>
        <v>Всего </v>
      </c>
      <c r="B326" s="80"/>
      <c r="C326" s="80"/>
      <c r="D326" s="80"/>
      <c r="E326" s="80"/>
      <c r="F326" s="65">
        <f>'Приложение 3'!G327</f>
        <v>562385.44158</v>
      </c>
      <c r="G326" s="65">
        <f>'Приложение 3'!H327</f>
        <v>77985.73172</v>
      </c>
      <c r="H326" s="65">
        <f t="shared" si="4"/>
        <v>13.866954219316582</v>
      </c>
    </row>
    <row r="327" spans="1:8" ht="12.75">
      <c r="A327" s="2"/>
      <c r="B327" s="2"/>
      <c r="C327" s="2"/>
      <c r="D327" s="2"/>
      <c r="E327" s="2"/>
      <c r="F327" s="36">
        <f>SUM('Приложение 3'!G327)</f>
        <v>562385.44158</v>
      </c>
      <c r="G327" s="36">
        <f>SUM('Приложение 3'!H327)</f>
        <v>77985.73172</v>
      </c>
      <c r="H327" s="36">
        <f>SUM('Приложение 3'!I327)</f>
        <v>13.866954219316582</v>
      </c>
    </row>
    <row r="328" spans="1:5" ht="12.75">
      <c r="A328" s="2"/>
      <c r="B328" s="2"/>
      <c r="C328" s="2"/>
      <c r="D328" s="2"/>
      <c r="E328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8"/>
  <sheetViews>
    <sheetView showGridLines="0" view="pageBreakPreview" zoomScaleSheetLayoutView="100" zoomScalePageLayoutView="0" workbookViewId="0" topLeftCell="A1">
      <pane ySplit="8" topLeftCell="A68" activePane="bottomLeft" state="frozen"/>
      <selection pane="topLeft" activeCell="A1" sqref="A1"/>
      <selection pane="bottomLeft" activeCell="M68" sqref="M68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16384" width="9.140625" style="2" customWidth="1"/>
  </cols>
  <sheetData>
    <row r="1" spans="3:7" ht="18.75" customHeight="1">
      <c r="C1" s="107" t="s">
        <v>228</v>
      </c>
      <c r="D1" s="107"/>
      <c r="E1" s="107"/>
      <c r="F1" s="107"/>
      <c r="G1" s="107"/>
    </row>
    <row r="2" spans="3:7" ht="18.75" customHeight="1">
      <c r="C2" s="107" t="s">
        <v>124</v>
      </c>
      <c r="D2" s="107"/>
      <c r="E2" s="107"/>
      <c r="F2" s="107"/>
      <c r="G2" s="107"/>
    </row>
    <row r="3" spans="3:7" ht="18.75" customHeight="1">
      <c r="C3" s="107" t="s">
        <v>125</v>
      </c>
      <c r="D3" s="107"/>
      <c r="E3" s="107"/>
      <c r="F3" s="107"/>
      <c r="G3" s="107"/>
    </row>
    <row r="4" spans="1:7" ht="21.75" customHeight="1">
      <c r="A4" s="8"/>
      <c r="B4" s="1"/>
      <c r="C4" s="107" t="s">
        <v>156</v>
      </c>
      <c r="D4" s="107"/>
      <c r="E4" s="107"/>
      <c r="F4" s="107"/>
      <c r="G4" s="107"/>
    </row>
    <row r="5" spans="1:7" ht="36.75" customHeight="1">
      <c r="A5" s="113" t="s">
        <v>349</v>
      </c>
      <c r="B5" s="113"/>
      <c r="C5" s="113"/>
      <c r="D5" s="113"/>
      <c r="E5" s="113"/>
      <c r="F5" s="113"/>
      <c r="G5" s="113"/>
    </row>
    <row r="6" spans="1:7" ht="12.75" hidden="1">
      <c r="A6" s="30"/>
      <c r="B6" s="31"/>
      <c r="C6" s="32"/>
      <c r="D6" s="33"/>
      <c r="E6" s="16"/>
      <c r="F6" s="16"/>
      <c r="G6" s="16"/>
    </row>
    <row r="7" spans="1:7" ht="12.75" customHeight="1">
      <c r="A7" s="30"/>
      <c r="B7" s="31"/>
      <c r="C7" s="32"/>
      <c r="D7" s="33"/>
      <c r="E7" s="114"/>
      <c r="F7" s="114"/>
      <c r="G7" s="87" t="s">
        <v>303</v>
      </c>
    </row>
    <row r="8" spans="1:7" ht="72.75" customHeight="1">
      <c r="A8" s="55" t="s">
        <v>1</v>
      </c>
      <c r="B8" s="53" t="s">
        <v>181</v>
      </c>
      <c r="C8" s="56" t="s">
        <v>8</v>
      </c>
      <c r="D8" s="54" t="s">
        <v>180</v>
      </c>
      <c r="E8" s="34" t="s">
        <v>339</v>
      </c>
      <c r="F8" s="34" t="s">
        <v>340</v>
      </c>
      <c r="G8" s="34" t="s">
        <v>338</v>
      </c>
    </row>
    <row r="9" spans="1:7" ht="39" customHeight="1" outlineLevel="2">
      <c r="A9" s="5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2" t="str">
        <f>'Приложение 3'!D49</f>
        <v>01</v>
      </c>
      <c r="C9" s="72">
        <f>'Приложение 3'!E49</f>
        <v>0</v>
      </c>
      <c r="D9" s="72" t="s">
        <v>182</v>
      </c>
      <c r="E9" s="73">
        <f>SUM('Приложение 3'!G49)</f>
        <v>50</v>
      </c>
      <c r="F9" s="73">
        <f>SUM('Приложение 3'!H49)</f>
        <v>9.92868</v>
      </c>
      <c r="G9" s="73">
        <f aca="true" t="shared" si="0" ref="G9:G72">SUM(F9/E9)*100</f>
        <v>19.85736</v>
      </c>
    </row>
    <row r="10" spans="1:7" ht="17.25" customHeight="1" outlineLevel="2">
      <c r="A10" s="58" t="s">
        <v>188</v>
      </c>
      <c r="B10" s="40" t="s">
        <v>2</v>
      </c>
      <c r="C10" s="40" t="s">
        <v>9</v>
      </c>
      <c r="D10" s="40" t="s">
        <v>2</v>
      </c>
      <c r="E10" s="71">
        <f>SUM('Приложение 3'!G50)</f>
        <v>50</v>
      </c>
      <c r="F10" s="71">
        <f>SUM('Приложение 3'!H50)</f>
        <v>9.92868</v>
      </c>
      <c r="G10" s="71">
        <f t="shared" si="0"/>
        <v>19.85736</v>
      </c>
    </row>
    <row r="11" spans="1:7" ht="40.5" customHeight="1" outlineLevel="5">
      <c r="A11" s="51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72" t="s">
        <v>6</v>
      </c>
      <c r="C11" s="74">
        <v>0</v>
      </c>
      <c r="D11" s="72" t="s">
        <v>182</v>
      </c>
      <c r="E11" s="73">
        <f>SUM(E12+E17+E14)</f>
        <v>18327.177880000003</v>
      </c>
      <c r="F11" s="73">
        <f>SUM(F12+F17+F14)</f>
        <v>1629.6135800000002</v>
      </c>
      <c r="G11" s="73">
        <f t="shared" si="0"/>
        <v>8.89178678064972</v>
      </c>
    </row>
    <row r="12" spans="1:7" ht="49.5" customHeight="1" outlineLevel="5">
      <c r="A12" s="51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2" t="s">
        <v>6</v>
      </c>
      <c r="C12" s="74">
        <v>1</v>
      </c>
      <c r="D12" s="72" t="s">
        <v>182</v>
      </c>
      <c r="E12" s="73">
        <f>SUM(E13)</f>
        <v>4448</v>
      </c>
      <c r="F12" s="73">
        <f>SUM(F13)</f>
        <v>1112</v>
      </c>
      <c r="G12" s="73">
        <f t="shared" si="0"/>
        <v>25</v>
      </c>
    </row>
    <row r="13" spans="1:7" ht="27" customHeight="1">
      <c r="A13" s="58" t="s">
        <v>192</v>
      </c>
      <c r="B13" s="40" t="s">
        <v>6</v>
      </c>
      <c r="C13" s="40" t="s">
        <v>185</v>
      </c>
      <c r="D13" s="40" t="s">
        <v>2</v>
      </c>
      <c r="E13" s="71">
        <f>SUM('Приложение 3'!G136+'Приложение 3'!G137)</f>
        <v>4448</v>
      </c>
      <c r="F13" s="71">
        <f>SUM('Приложение 3'!H136+'Приложение 3'!H137)</f>
        <v>1112</v>
      </c>
      <c r="G13" s="71">
        <f t="shared" si="0"/>
        <v>25</v>
      </c>
    </row>
    <row r="14" spans="1:7" ht="27" customHeight="1">
      <c r="A14" s="5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72" t="s">
        <v>6</v>
      </c>
      <c r="C14" s="74">
        <v>3</v>
      </c>
      <c r="D14" s="72" t="s">
        <v>182</v>
      </c>
      <c r="E14" s="73">
        <f>SUM(E15:E16)</f>
        <v>11770.448980000001</v>
      </c>
      <c r="F14" s="73">
        <f>SUM(F15:F16)</f>
        <v>517.6135800000001</v>
      </c>
      <c r="G14" s="73">
        <f t="shared" si="0"/>
        <v>4.397568698352236</v>
      </c>
    </row>
    <row r="15" spans="1:7" ht="36">
      <c r="A15" s="50" t="s">
        <v>215</v>
      </c>
      <c r="B15" s="40" t="s">
        <v>6</v>
      </c>
      <c r="C15" s="40" t="s">
        <v>187</v>
      </c>
      <c r="D15" s="40" t="s">
        <v>2</v>
      </c>
      <c r="E15" s="71">
        <f>SUM('Приложение 3'!G271+'Приложение 3'!G157)</f>
        <v>3883.40387</v>
      </c>
      <c r="F15" s="71">
        <f>SUM('Приложение 3'!H271+'Приложение 3'!H157)</f>
        <v>62.36958</v>
      </c>
      <c r="G15" s="71">
        <f t="shared" si="0"/>
        <v>1.6060544328602113</v>
      </c>
    </row>
    <row r="16" spans="1:7" ht="24">
      <c r="A16" s="58" t="s">
        <v>206</v>
      </c>
      <c r="B16" s="40" t="s">
        <v>6</v>
      </c>
      <c r="C16" s="40" t="s">
        <v>187</v>
      </c>
      <c r="D16" s="40" t="s">
        <v>6</v>
      </c>
      <c r="E16" s="71">
        <f>SUM('Приложение 3'!G158+'Приложение 3'!G179+'Приложение 3'!G65+'Приложение 3'!G217)</f>
        <v>7887.04511</v>
      </c>
      <c r="F16" s="71">
        <f>SUM('Приложение 3'!H158+'Приложение 3'!H179+'Приложение 3'!H65+'Приложение 3'!H217)</f>
        <v>455.244</v>
      </c>
      <c r="G16" s="71">
        <f t="shared" si="0"/>
        <v>5.772047625577737</v>
      </c>
    </row>
    <row r="17" spans="1:7" ht="36" customHeight="1">
      <c r="A17" s="57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7" s="72" t="s">
        <v>6</v>
      </c>
      <c r="C17" s="72" t="s">
        <v>193</v>
      </c>
      <c r="D17" s="72" t="s">
        <v>182</v>
      </c>
      <c r="E17" s="73">
        <f>SUM(E18:E19)</f>
        <v>2108.7289</v>
      </c>
      <c r="F17" s="73">
        <f>SUM(F18:F19)</f>
        <v>0</v>
      </c>
      <c r="G17" s="73">
        <f t="shared" si="0"/>
        <v>0</v>
      </c>
    </row>
    <row r="18" spans="1:7" ht="27.75" customHeight="1">
      <c r="A18" s="58" t="s">
        <v>223</v>
      </c>
      <c r="B18" s="40" t="s">
        <v>6</v>
      </c>
      <c r="C18" s="40" t="s">
        <v>193</v>
      </c>
      <c r="D18" s="40" t="s">
        <v>2</v>
      </c>
      <c r="E18" s="71">
        <f>SUM('Приложение 3'!G67+'Приложение 3'!G160+'Приложение 3'!G184+'Приложение 3'!G183+'Приложение 3'!G138)</f>
        <v>1056.09732</v>
      </c>
      <c r="F18" s="71">
        <f>SUM('Приложение 3'!H67+'Приложение 3'!H160+'Приложение 3'!H184+'Приложение 3'!H183+'Приложение 3'!H138)</f>
        <v>0</v>
      </c>
      <c r="G18" s="71">
        <f t="shared" si="0"/>
        <v>0</v>
      </c>
    </row>
    <row r="19" spans="1:7" ht="48">
      <c r="A19" s="58" t="s">
        <v>295</v>
      </c>
      <c r="B19" s="40" t="s">
        <v>6</v>
      </c>
      <c r="C19" s="40" t="s">
        <v>193</v>
      </c>
      <c r="D19" s="40" t="s">
        <v>6</v>
      </c>
      <c r="E19" s="71">
        <f>SUM('Приложение 3'!G185)</f>
        <v>1052.63158</v>
      </c>
      <c r="F19" s="71">
        <f>SUM('Приложение 3'!H185)</f>
        <v>0</v>
      </c>
      <c r="G19" s="71">
        <f t="shared" si="0"/>
        <v>0</v>
      </c>
    </row>
    <row r="20" spans="1:7" ht="27.75" customHeight="1">
      <c r="A20" s="57" t="str">
        <f>'Приложение 3'!A140</f>
        <v>Муниципальная программа "Комплексное развитие сельских территорий"</v>
      </c>
      <c r="B20" s="72" t="s">
        <v>12</v>
      </c>
      <c r="C20" s="72" t="s">
        <v>9</v>
      </c>
      <c r="D20" s="72" t="s">
        <v>182</v>
      </c>
      <c r="E20" s="73">
        <f>SUM(E21:E22)</f>
        <v>129451.067</v>
      </c>
      <c r="F20" s="73">
        <f>SUM(F21:F22)</f>
        <v>4553.81699</v>
      </c>
      <c r="G20" s="73">
        <f t="shared" si="0"/>
        <v>3.5177902318873895</v>
      </c>
    </row>
    <row r="21" spans="1:7" ht="27.75" customHeight="1">
      <c r="A21" s="50" t="s">
        <v>293</v>
      </c>
      <c r="B21" s="40" t="s">
        <v>12</v>
      </c>
      <c r="C21" s="40" t="s">
        <v>9</v>
      </c>
      <c r="D21" s="40" t="s">
        <v>6</v>
      </c>
      <c r="E21" s="71">
        <f>SUM('Приложение 3'!G146+'Приложение 3'!G120)</f>
        <v>4553.817</v>
      </c>
      <c r="F21" s="71">
        <f>SUM('Приложение 3'!H146+'Приложение 3'!H120)</f>
        <v>4553.81699</v>
      </c>
      <c r="G21" s="71">
        <f t="shared" si="0"/>
        <v>99.999999780404</v>
      </c>
    </row>
    <row r="22" spans="1:7" ht="27" customHeight="1">
      <c r="A22" s="50" t="s">
        <v>292</v>
      </c>
      <c r="B22" s="40" t="s">
        <v>12</v>
      </c>
      <c r="C22" s="40" t="s">
        <v>9</v>
      </c>
      <c r="D22" s="40" t="s">
        <v>13</v>
      </c>
      <c r="E22" s="71">
        <f>SUM('Приложение 3'!G140+'Приложение 3'!G304)</f>
        <v>124897.25</v>
      </c>
      <c r="F22" s="71">
        <f>SUM('Приложение 3'!H140+'Приложение 3'!H248+'Приложение 3'!H304)</f>
        <v>0</v>
      </c>
      <c r="G22" s="71">
        <f t="shared" si="0"/>
        <v>0</v>
      </c>
    </row>
    <row r="23" spans="1:7" ht="39.75" customHeight="1">
      <c r="A23" s="51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72" t="s">
        <v>13</v>
      </c>
      <c r="C23" s="72" t="s">
        <v>9</v>
      </c>
      <c r="D23" s="72" t="s">
        <v>182</v>
      </c>
      <c r="E23" s="73">
        <f>SUM('Приложение 3'!G123)</f>
        <v>100</v>
      </c>
      <c r="F23" s="73">
        <f>SUM('Приложение 3'!H123)</f>
        <v>0</v>
      </c>
      <c r="G23" s="73">
        <f t="shared" si="0"/>
        <v>0</v>
      </c>
    </row>
    <row r="24" spans="1:7" ht="36">
      <c r="A24" s="58" t="s">
        <v>194</v>
      </c>
      <c r="B24" s="40" t="s">
        <v>13</v>
      </c>
      <c r="C24" s="40" t="s">
        <v>9</v>
      </c>
      <c r="D24" s="40" t="s">
        <v>2</v>
      </c>
      <c r="E24" s="71">
        <f>SUM('Приложение 3'!G124)</f>
        <v>0</v>
      </c>
      <c r="F24" s="71">
        <f>SUM('Приложение 3'!H124)</f>
        <v>0</v>
      </c>
      <c r="G24" s="71">
        <v>0</v>
      </c>
    </row>
    <row r="25" spans="1:7" ht="22.5" customHeight="1">
      <c r="A25" s="58" t="s">
        <v>195</v>
      </c>
      <c r="B25" s="40" t="s">
        <v>13</v>
      </c>
      <c r="C25" s="40" t="s">
        <v>9</v>
      </c>
      <c r="D25" s="40" t="s">
        <v>6</v>
      </c>
      <c r="E25" s="71">
        <f>SUM('Приложение 3'!G126)</f>
        <v>100</v>
      </c>
      <c r="F25" s="71">
        <f>SUM('Приложение 3'!H126)</f>
        <v>0</v>
      </c>
      <c r="G25" s="71">
        <f t="shared" si="0"/>
        <v>0</v>
      </c>
    </row>
    <row r="26" spans="1:7" ht="35.25" customHeight="1" hidden="1">
      <c r="A26" s="58" t="s">
        <v>249</v>
      </c>
      <c r="B26" s="40" t="s">
        <v>13</v>
      </c>
      <c r="C26" s="40" t="s">
        <v>9</v>
      </c>
      <c r="D26" s="40" t="s">
        <v>12</v>
      </c>
      <c r="E26" s="71">
        <f>SUM('Приложение 3'!G125)</f>
        <v>0</v>
      </c>
      <c r="F26" s="71">
        <f>SUM('Приложение 3'!H125)</f>
        <v>0</v>
      </c>
      <c r="G26" s="71" t="e">
        <f t="shared" si="0"/>
        <v>#DIV/0!</v>
      </c>
    </row>
    <row r="27" spans="1:7" ht="38.25" customHeight="1">
      <c r="A27" s="51" t="str">
        <f>'Приложение 3'!A150</f>
        <v>Муниципальная программа "Охрана окружающей среды Алексеевского муниципального района на 2019-2023 годы"</v>
      </c>
      <c r="B27" s="72" t="s">
        <v>15</v>
      </c>
      <c r="C27" s="72" t="s">
        <v>9</v>
      </c>
      <c r="D27" s="72" t="s">
        <v>182</v>
      </c>
      <c r="E27" s="73">
        <f>SUM('Приложение 3'!G150)</f>
        <v>20</v>
      </c>
      <c r="F27" s="73">
        <f>SUM('Приложение 3'!H150)</f>
        <v>0</v>
      </c>
      <c r="G27" s="71">
        <f t="shared" si="0"/>
        <v>0</v>
      </c>
    </row>
    <row r="28" spans="1:7" ht="24">
      <c r="A28" s="58" t="s">
        <v>274</v>
      </c>
      <c r="B28" s="40" t="s">
        <v>15</v>
      </c>
      <c r="C28" s="40" t="s">
        <v>9</v>
      </c>
      <c r="D28" s="40" t="s">
        <v>2</v>
      </c>
      <c r="E28" s="71">
        <f>SUM('Приложение 3'!G150)</f>
        <v>20</v>
      </c>
      <c r="F28" s="71">
        <f>SUM('Приложение 3'!H150)</f>
        <v>0</v>
      </c>
      <c r="G28" s="71">
        <f t="shared" si="0"/>
        <v>0</v>
      </c>
    </row>
    <row r="29" spans="1:7" ht="36">
      <c r="A29" s="51" t="str">
        <f>'Приложение 3'!A248</f>
        <v>Муниципальная программа "Развитие культуры и искусства в Алексеевском муниципальном районе на 2021-2025 годы"</v>
      </c>
      <c r="B29" s="72" t="s">
        <v>333</v>
      </c>
      <c r="C29" s="72" t="s">
        <v>9</v>
      </c>
      <c r="D29" s="72" t="s">
        <v>182</v>
      </c>
      <c r="E29" s="73">
        <f>SUM('Приложение 3'!G248)</f>
        <v>20202.03</v>
      </c>
      <c r="F29" s="73">
        <f>SUM('Приложение 3'!H248)</f>
        <v>0</v>
      </c>
      <c r="G29" s="73">
        <f t="shared" si="0"/>
        <v>0</v>
      </c>
    </row>
    <row r="30" spans="1:7" ht="72">
      <c r="A30" s="58" t="s">
        <v>335</v>
      </c>
      <c r="B30" s="40" t="s">
        <v>333</v>
      </c>
      <c r="C30" s="40" t="s">
        <v>9</v>
      </c>
      <c r="D30" s="40" t="s">
        <v>334</v>
      </c>
      <c r="E30" s="71">
        <f>SUM('Приложение 3'!G248)</f>
        <v>20202.03</v>
      </c>
      <c r="F30" s="71">
        <f>SUM('Приложение 3'!H248)</f>
        <v>0</v>
      </c>
      <c r="G30" s="71">
        <f t="shared" si="0"/>
        <v>0</v>
      </c>
    </row>
    <row r="31" spans="1:7" ht="62.25" customHeight="1">
      <c r="A31" s="51" t="str">
        <f>'Приложение 3'!A224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72" t="s">
        <v>24</v>
      </c>
      <c r="C31" s="72" t="s">
        <v>9</v>
      </c>
      <c r="D31" s="72" t="s">
        <v>182</v>
      </c>
      <c r="E31" s="73">
        <f>SUM('Приложение 3'!G224)</f>
        <v>100</v>
      </c>
      <c r="F31" s="73">
        <f>SUM('Приложение 3'!H224)</f>
        <v>0</v>
      </c>
      <c r="G31" s="73">
        <f t="shared" si="0"/>
        <v>0</v>
      </c>
    </row>
    <row r="32" spans="1:7" ht="27.75" customHeight="1">
      <c r="A32" s="51" t="str">
        <f>'Приложение 3'!A225</f>
        <v>Подпрограмма "Комплексные меры по противодействию наркомании"</v>
      </c>
      <c r="B32" s="72" t="s">
        <v>24</v>
      </c>
      <c r="C32" s="72" t="s">
        <v>185</v>
      </c>
      <c r="D32" s="72" t="s">
        <v>182</v>
      </c>
      <c r="E32" s="73">
        <f>SUM('Приложение 3'!G225)</f>
        <v>30</v>
      </c>
      <c r="F32" s="73">
        <f>SUM('Приложение 3'!H225)</f>
        <v>0</v>
      </c>
      <c r="G32" s="73">
        <f t="shared" si="0"/>
        <v>0</v>
      </c>
    </row>
    <row r="33" spans="1:7" ht="37.5" customHeight="1">
      <c r="A33" s="58" t="s">
        <v>248</v>
      </c>
      <c r="B33" s="40" t="s">
        <v>24</v>
      </c>
      <c r="C33" s="40" t="s">
        <v>185</v>
      </c>
      <c r="D33" s="40" t="s">
        <v>2</v>
      </c>
      <c r="E33" s="71">
        <f>SUM('Приложение 3'!G226)</f>
        <v>30</v>
      </c>
      <c r="F33" s="71">
        <f>SUM('Приложение 3'!H226)</f>
        <v>0</v>
      </c>
      <c r="G33" s="71">
        <f t="shared" si="0"/>
        <v>0</v>
      </c>
    </row>
    <row r="34" spans="1:7" ht="29.25" customHeight="1" outlineLevel="1">
      <c r="A34" s="51" t="str">
        <f>'Приложение 3'!A227</f>
        <v>Подпрограмма "Реализация мероприятий молодежной политики и социальной адаптации молодежи "</v>
      </c>
      <c r="B34" s="72" t="s">
        <v>24</v>
      </c>
      <c r="C34" s="72" t="s">
        <v>186</v>
      </c>
      <c r="D34" s="72" t="s">
        <v>182</v>
      </c>
      <c r="E34" s="73">
        <f>SUM('Приложение 3'!G227)</f>
        <v>40</v>
      </c>
      <c r="F34" s="73">
        <f>SUM('Приложение 3'!H227)</f>
        <v>0</v>
      </c>
      <c r="G34" s="73">
        <f t="shared" si="0"/>
        <v>0</v>
      </c>
    </row>
    <row r="35" spans="1:7" ht="30" customHeight="1" outlineLevel="5">
      <c r="A35" s="58" t="s">
        <v>196</v>
      </c>
      <c r="B35" s="40" t="s">
        <v>24</v>
      </c>
      <c r="C35" s="40" t="s">
        <v>186</v>
      </c>
      <c r="D35" s="40" t="s">
        <v>2</v>
      </c>
      <c r="E35" s="71">
        <f>SUM('Приложение 3'!G228)</f>
        <v>40</v>
      </c>
      <c r="F35" s="71">
        <f>SUM('Приложение 3'!H228)</f>
        <v>0</v>
      </c>
      <c r="G35" s="71">
        <f t="shared" si="0"/>
        <v>0</v>
      </c>
    </row>
    <row r="36" spans="1:7" ht="42.75" customHeight="1" outlineLevel="5">
      <c r="A36" s="51" t="str">
        <f>'Приложение 3'!A229</f>
        <v>Подпрограмма " Профилактика безнадзорности, правонарушений и неблагополучия несовершеннолетних"</v>
      </c>
      <c r="B36" s="72" t="s">
        <v>24</v>
      </c>
      <c r="C36" s="72" t="s">
        <v>187</v>
      </c>
      <c r="D36" s="72" t="s">
        <v>182</v>
      </c>
      <c r="E36" s="73">
        <f>SUM('Приложение 3'!G229)</f>
        <v>30</v>
      </c>
      <c r="F36" s="73">
        <f>SUM('Приложение 3'!H229)</f>
        <v>0</v>
      </c>
      <c r="G36" s="73">
        <f t="shared" si="0"/>
        <v>0</v>
      </c>
    </row>
    <row r="37" spans="1:7" s="16" customFormat="1" ht="38.25" customHeight="1" outlineLevel="2">
      <c r="A37" s="58" t="s">
        <v>241</v>
      </c>
      <c r="B37" s="40" t="s">
        <v>24</v>
      </c>
      <c r="C37" s="41">
        <v>3</v>
      </c>
      <c r="D37" s="40" t="s">
        <v>2</v>
      </c>
      <c r="E37" s="71">
        <f>SUM('Приложение 3'!G230)</f>
        <v>30</v>
      </c>
      <c r="F37" s="71">
        <f>SUM('Приложение 3'!H230)</f>
        <v>0</v>
      </c>
      <c r="G37" s="71">
        <f t="shared" si="0"/>
        <v>0</v>
      </c>
    </row>
    <row r="38" spans="1:7" s="16" customFormat="1" ht="33.75" customHeight="1" hidden="1" outlineLevel="2">
      <c r="A38" s="58" t="s">
        <v>242</v>
      </c>
      <c r="B38" s="40" t="s">
        <v>24</v>
      </c>
      <c r="C38" s="41">
        <v>3</v>
      </c>
      <c r="D38" s="40" t="s">
        <v>6</v>
      </c>
      <c r="E38" s="71">
        <f>SUM('Приложение 3'!G231)</f>
        <v>0</v>
      </c>
      <c r="F38" s="71">
        <f>SUM('Приложение 3'!H231)</f>
        <v>0</v>
      </c>
      <c r="G38" s="71" t="e">
        <f t="shared" si="0"/>
        <v>#DIV/0!</v>
      </c>
    </row>
    <row r="39" spans="1:7" s="16" customFormat="1" ht="28.5" customHeight="1" hidden="1" outlineLevel="2">
      <c r="A39" s="58" t="s">
        <v>243</v>
      </c>
      <c r="B39" s="40" t="s">
        <v>24</v>
      </c>
      <c r="C39" s="41">
        <v>3</v>
      </c>
      <c r="D39" s="40" t="s">
        <v>12</v>
      </c>
      <c r="E39" s="71">
        <f>SUM('Приложение 3'!G232)</f>
        <v>0</v>
      </c>
      <c r="F39" s="71">
        <f>SUM('Приложение 3'!H232)</f>
        <v>0</v>
      </c>
      <c r="G39" s="71" t="e">
        <f t="shared" si="0"/>
        <v>#DIV/0!</v>
      </c>
    </row>
    <row r="40" spans="1:7" s="16" customFormat="1" ht="75" customHeight="1" outlineLevel="2">
      <c r="A40" s="51" t="str">
        <f>'Приложение 3'!A240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0" s="72" t="s">
        <v>210</v>
      </c>
      <c r="C40" s="72" t="s">
        <v>9</v>
      </c>
      <c r="D40" s="72" t="s">
        <v>182</v>
      </c>
      <c r="E40" s="73">
        <f>SUM('Приложение 3'!G240)</f>
        <v>20</v>
      </c>
      <c r="F40" s="73">
        <f>SUM('Приложение 3'!H240)</f>
        <v>0</v>
      </c>
      <c r="G40" s="73">
        <f t="shared" si="0"/>
        <v>0</v>
      </c>
    </row>
    <row r="41" spans="1:7" s="16" customFormat="1" ht="48" customHeight="1" outlineLevel="2">
      <c r="A41" s="58" t="s">
        <v>212</v>
      </c>
      <c r="B41" s="40" t="s">
        <v>210</v>
      </c>
      <c r="C41" s="41">
        <v>0</v>
      </c>
      <c r="D41" s="40" t="s">
        <v>2</v>
      </c>
      <c r="E41" s="71">
        <f>SUM('Приложение 3'!G241)</f>
        <v>20</v>
      </c>
      <c r="F41" s="71">
        <f>SUM('Приложение 3'!H241)</f>
        <v>0</v>
      </c>
      <c r="G41" s="71">
        <f t="shared" si="0"/>
        <v>0</v>
      </c>
    </row>
    <row r="42" spans="1:7" s="16" customFormat="1" ht="40.5" customHeight="1" outlineLevel="2">
      <c r="A42" s="51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годы"</v>
      </c>
      <c r="B42" s="72" t="s">
        <v>279</v>
      </c>
      <c r="C42" s="74">
        <v>0</v>
      </c>
      <c r="D42" s="72" t="s">
        <v>182</v>
      </c>
      <c r="E42" s="73">
        <f>SUM('Приложение 3'!G127)</f>
        <v>525</v>
      </c>
      <c r="F42" s="73">
        <f>SUM('Приложение 3'!H127)</f>
        <v>142</v>
      </c>
      <c r="G42" s="73">
        <f t="shared" si="0"/>
        <v>27.047619047619047</v>
      </c>
    </row>
    <row r="43" spans="1:7" s="16" customFormat="1" ht="38.25" customHeight="1" outlineLevel="2">
      <c r="A43" s="58" t="s">
        <v>281</v>
      </c>
      <c r="B43" s="40" t="s">
        <v>279</v>
      </c>
      <c r="C43" s="41">
        <v>0</v>
      </c>
      <c r="D43" s="40" t="s">
        <v>2</v>
      </c>
      <c r="E43" s="71">
        <f>SUM('Приложение 3'!G128)</f>
        <v>525</v>
      </c>
      <c r="F43" s="71">
        <f>SUM('Приложение 3'!H128)</f>
        <v>142</v>
      </c>
      <c r="G43" s="71">
        <f t="shared" si="0"/>
        <v>27.047619047619047</v>
      </c>
    </row>
    <row r="44" spans="1:7" s="16" customFormat="1" ht="64.5" customHeight="1" outlineLevel="2">
      <c r="A44" s="58" t="s">
        <v>280</v>
      </c>
      <c r="B44" s="40" t="s">
        <v>279</v>
      </c>
      <c r="C44" s="41">
        <v>0</v>
      </c>
      <c r="D44" s="40" t="s">
        <v>6</v>
      </c>
      <c r="E44" s="71">
        <f>SUM('Приложение 3'!G129)</f>
        <v>0</v>
      </c>
      <c r="F44" s="71">
        <f>SUM('Приложение 3'!H129)</f>
        <v>0</v>
      </c>
      <c r="G44" s="71">
        <v>0</v>
      </c>
    </row>
    <row r="45" spans="1:7" s="16" customFormat="1" ht="36" hidden="1" outlineLevel="2">
      <c r="A45" s="51" t="str">
        <f>'Приложение 3'!A288</f>
        <v>Муниципальная программа "Молодой семье – доступное жилье на территории Алексеевского муниципального района на 2019-2020 годы"</v>
      </c>
      <c r="B45" s="72" t="s">
        <v>262</v>
      </c>
      <c r="C45" s="72" t="s">
        <v>9</v>
      </c>
      <c r="D45" s="72" t="s">
        <v>182</v>
      </c>
      <c r="E45" s="73">
        <f>SUM('Приложение 3'!G288)</f>
        <v>0</v>
      </c>
      <c r="F45" s="73">
        <f>SUM('Приложение 3'!H288)</f>
        <v>0</v>
      </c>
      <c r="G45" s="71" t="e">
        <f t="shared" si="0"/>
        <v>#DIV/0!</v>
      </c>
    </row>
    <row r="46" spans="1:7" ht="36" hidden="1" outlineLevel="3">
      <c r="A46" s="50" t="s">
        <v>263</v>
      </c>
      <c r="B46" s="40" t="s">
        <v>262</v>
      </c>
      <c r="C46" s="40" t="s">
        <v>9</v>
      </c>
      <c r="D46" s="40" t="s">
        <v>2</v>
      </c>
      <c r="E46" s="71">
        <f>SUM('Приложение 3'!G289)</f>
        <v>0</v>
      </c>
      <c r="F46" s="71">
        <f>SUM('Приложение 3'!H289)</f>
        <v>0</v>
      </c>
      <c r="G46" s="71" t="e">
        <f t="shared" si="0"/>
        <v>#DIV/0!</v>
      </c>
    </row>
    <row r="47" spans="1:7" ht="35.25" customHeight="1">
      <c r="A47" s="51" t="str">
        <f>'Приложение 3'!A251</f>
        <v>Муниципальная программа "Развитие народных художественных промыслов Алексеевского муниципального района на 2019-2023 годы"</v>
      </c>
      <c r="B47" s="72" t="s">
        <v>5</v>
      </c>
      <c r="C47" s="72" t="s">
        <v>9</v>
      </c>
      <c r="D47" s="72" t="s">
        <v>182</v>
      </c>
      <c r="E47" s="73">
        <f>SUM('Приложение 3'!G251)</f>
        <v>50</v>
      </c>
      <c r="F47" s="73">
        <f>SUM('Приложение 3'!H251)</f>
        <v>0</v>
      </c>
      <c r="G47" s="73">
        <f t="shared" si="0"/>
        <v>0</v>
      </c>
    </row>
    <row r="48" spans="1:7" ht="36" customHeight="1">
      <c r="A48" s="58" t="s">
        <v>197</v>
      </c>
      <c r="B48" s="40" t="s">
        <v>5</v>
      </c>
      <c r="C48" s="40" t="s">
        <v>9</v>
      </c>
      <c r="D48" s="40" t="s">
        <v>2</v>
      </c>
      <c r="E48" s="71">
        <f>SUM('Приложение 3'!G252)</f>
        <v>50</v>
      </c>
      <c r="F48" s="71">
        <f>SUM('Приложение 3'!H252)</f>
        <v>0</v>
      </c>
      <c r="G48" s="71">
        <f t="shared" si="0"/>
        <v>0</v>
      </c>
    </row>
    <row r="49" spans="1:7" ht="39" customHeight="1">
      <c r="A49" s="51" t="str">
        <f>'Приложение 3'!A253</f>
        <v>Муниципальная программа "О поддержке деятельности казачьих обществ Алексеевского муниципального района на 2019-2023 годы"</v>
      </c>
      <c r="B49" s="40" t="s">
        <v>4</v>
      </c>
      <c r="C49" s="40" t="s">
        <v>9</v>
      </c>
      <c r="D49" s="40" t="s">
        <v>182</v>
      </c>
      <c r="E49" s="73">
        <f>SUM('Приложение 3'!G253)</f>
        <v>50</v>
      </c>
      <c r="F49" s="73">
        <f>SUM('Приложение 3'!H253)</f>
        <v>12.5</v>
      </c>
      <c r="G49" s="73">
        <f t="shared" si="0"/>
        <v>25</v>
      </c>
    </row>
    <row r="50" spans="1:7" ht="27" customHeight="1">
      <c r="A50" s="58" t="s">
        <v>198</v>
      </c>
      <c r="B50" s="40" t="s">
        <v>4</v>
      </c>
      <c r="C50" s="40">
        <f>'Приложение 3'!E313</f>
        <v>0</v>
      </c>
      <c r="D50" s="40" t="s">
        <v>2</v>
      </c>
      <c r="E50" s="71">
        <f>SUM('Приложение 3'!G254)</f>
        <v>50</v>
      </c>
      <c r="F50" s="71">
        <f>SUM('Приложение 3'!H254)</f>
        <v>12.5</v>
      </c>
      <c r="G50" s="71">
        <f t="shared" si="0"/>
        <v>25</v>
      </c>
    </row>
    <row r="51" spans="1:7" ht="74.25" customHeight="1">
      <c r="A51" s="51" t="str">
        <f>'Приложение 3'!A278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1" s="72" t="s">
        <v>7</v>
      </c>
      <c r="C51" s="72">
        <f>'Приложение 3'!E116</f>
        <v>0</v>
      </c>
      <c r="D51" s="72" t="s">
        <v>182</v>
      </c>
      <c r="E51" s="73">
        <f>SUM('Приложение 3'!G278)</f>
        <v>500</v>
      </c>
      <c r="F51" s="73">
        <f>SUM('Приложение 3'!H278)</f>
        <v>130.63</v>
      </c>
      <c r="G51" s="73">
        <f t="shared" si="0"/>
        <v>26.125999999999998</v>
      </c>
    </row>
    <row r="52" spans="1:7" ht="72" customHeight="1">
      <c r="A52" s="58" t="s">
        <v>199</v>
      </c>
      <c r="B52" s="40" t="s">
        <v>7</v>
      </c>
      <c r="C52" s="40" t="s">
        <v>9</v>
      </c>
      <c r="D52" s="40" t="s">
        <v>2</v>
      </c>
      <c r="E52" s="71">
        <f>SUM('Приложение 3'!G279)</f>
        <v>500</v>
      </c>
      <c r="F52" s="71">
        <f>SUM('Приложение 3'!H279)</f>
        <v>130.63</v>
      </c>
      <c r="G52" s="71">
        <f t="shared" si="0"/>
        <v>26.125999999999998</v>
      </c>
    </row>
    <row r="53" spans="1:7" ht="24" customHeight="1">
      <c r="A53" s="51" t="str">
        <f>'Приложение 3'!A68</f>
        <v>Муниципальная программа "Маршрут Победы на 2019-2023 годы"</v>
      </c>
      <c r="B53" s="72" t="s">
        <v>10</v>
      </c>
      <c r="C53" s="72" t="s">
        <v>9</v>
      </c>
      <c r="D53" s="72" t="s">
        <v>182</v>
      </c>
      <c r="E53" s="73">
        <f>SUM('Приложение 3'!G68)</f>
        <v>100</v>
      </c>
      <c r="F53" s="73">
        <f>SUM('Приложение 3'!H68)</f>
        <v>35.8</v>
      </c>
      <c r="G53" s="73">
        <f t="shared" si="0"/>
        <v>35.8</v>
      </c>
    </row>
    <row r="54" spans="1:7" ht="50.25" customHeight="1">
      <c r="A54" s="58" t="s">
        <v>275</v>
      </c>
      <c r="B54" s="40" t="s">
        <v>10</v>
      </c>
      <c r="C54" s="40" t="s">
        <v>9</v>
      </c>
      <c r="D54" s="40" t="s">
        <v>2</v>
      </c>
      <c r="E54" s="71">
        <f>SUM('Приложение 3'!G69)</f>
        <v>100</v>
      </c>
      <c r="F54" s="71">
        <f>SUM('Приложение 3'!H69)</f>
        <v>35.8</v>
      </c>
      <c r="G54" s="71">
        <f t="shared" si="0"/>
        <v>35.8</v>
      </c>
    </row>
    <row r="55" spans="1:7" ht="40.5" customHeight="1">
      <c r="A55" s="57" t="str">
        <f>'Приложение 3'!A312</f>
        <v>Муниципальная программа "Развитие физической культуры и спорта в Алексеевском муниципальном районе на 2019-2023 годы"</v>
      </c>
      <c r="B55" s="72" t="s">
        <v>18</v>
      </c>
      <c r="C55" s="72" t="s">
        <v>9</v>
      </c>
      <c r="D55" s="72" t="s">
        <v>182</v>
      </c>
      <c r="E55" s="73">
        <f>SUM(E56+E57+E58)</f>
        <v>704.08164</v>
      </c>
      <c r="F55" s="73">
        <f>SUM(F56+F57+F58)</f>
        <v>47.1258</v>
      </c>
      <c r="G55" s="73">
        <f t="shared" si="0"/>
        <v>6.693229495374996</v>
      </c>
    </row>
    <row r="56" spans="1:7" ht="48.75" customHeight="1">
      <c r="A56" s="58" t="s">
        <v>200</v>
      </c>
      <c r="B56" s="40" t="s">
        <v>18</v>
      </c>
      <c r="C56" s="40" t="s">
        <v>9</v>
      </c>
      <c r="D56" s="40" t="s">
        <v>2</v>
      </c>
      <c r="E56" s="71">
        <f>SUM('Приложение 3'!G313)</f>
        <v>500</v>
      </c>
      <c r="F56" s="71">
        <f>SUM('Приложение 3'!H313)</f>
        <v>47.1258</v>
      </c>
      <c r="G56" s="71">
        <f t="shared" si="0"/>
        <v>9.425159999999998</v>
      </c>
    </row>
    <row r="57" spans="1:7" ht="66" customHeight="1">
      <c r="A57" s="58" t="s">
        <v>324</v>
      </c>
      <c r="B57" s="40" t="s">
        <v>18</v>
      </c>
      <c r="C57" s="40" t="s">
        <v>9</v>
      </c>
      <c r="D57" s="40" t="s">
        <v>12</v>
      </c>
      <c r="E57" s="71">
        <f>SUM('Приложение 3'!G308)</f>
        <v>204.08164</v>
      </c>
      <c r="F57" s="71">
        <f>SUM('Приложение 3'!H308)</f>
        <v>0</v>
      </c>
      <c r="G57" s="71">
        <f t="shared" si="0"/>
        <v>0</v>
      </c>
    </row>
    <row r="58" spans="1:7" ht="72" hidden="1">
      <c r="A58" s="58" t="s">
        <v>299</v>
      </c>
      <c r="B58" s="40" t="s">
        <v>18</v>
      </c>
      <c r="C58" s="40" t="s">
        <v>9</v>
      </c>
      <c r="D58" s="40" t="s">
        <v>298</v>
      </c>
      <c r="E58" s="71">
        <f>SUM('Приложение 3'!G187+'Приложение 3'!G188)</f>
        <v>0</v>
      </c>
      <c r="F58" s="71">
        <f>SUM('Приложение 3'!H187+'Приложение 3'!H188)</f>
        <v>0</v>
      </c>
      <c r="G58" s="71" t="e">
        <f t="shared" si="0"/>
        <v>#DIV/0!</v>
      </c>
    </row>
    <row r="59" spans="1:7" ht="51" customHeight="1">
      <c r="A59" s="57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9" s="72" t="s">
        <v>153</v>
      </c>
      <c r="C59" s="72" t="s">
        <v>9</v>
      </c>
      <c r="D59" s="72" t="s">
        <v>182</v>
      </c>
      <c r="E59" s="73">
        <f>SUM('Приложение 3'!G115)</f>
        <v>39023.576629999996</v>
      </c>
      <c r="F59" s="73">
        <f>SUM('Приложение 3'!H115)</f>
        <v>0</v>
      </c>
      <c r="G59" s="73">
        <f t="shared" si="0"/>
        <v>0</v>
      </c>
    </row>
    <row r="60" spans="1:7" ht="39.75" customHeight="1">
      <c r="A60" s="58" t="s">
        <v>244</v>
      </c>
      <c r="B60" s="40" t="s">
        <v>153</v>
      </c>
      <c r="C60" s="40" t="s">
        <v>9</v>
      </c>
      <c r="D60" s="40" t="s">
        <v>2</v>
      </c>
      <c r="E60" s="71">
        <f>SUM('Приложение 3'!G115)</f>
        <v>39023.576629999996</v>
      </c>
      <c r="F60" s="71">
        <f>SUM('Приложение 3'!H115)</f>
        <v>0</v>
      </c>
      <c r="G60" s="71">
        <f t="shared" si="0"/>
        <v>0</v>
      </c>
    </row>
    <row r="61" spans="1:7" ht="54" customHeight="1">
      <c r="A61" s="57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1" s="72" t="s">
        <v>155</v>
      </c>
      <c r="C61" s="72" t="s">
        <v>9</v>
      </c>
      <c r="D61" s="72" t="s">
        <v>182</v>
      </c>
      <c r="E61" s="73">
        <f>SUM(E62+E64)</f>
        <v>50</v>
      </c>
      <c r="F61" s="73">
        <f>SUM(F62+F64)</f>
        <v>0</v>
      </c>
      <c r="G61" s="73">
        <f t="shared" si="0"/>
        <v>0</v>
      </c>
    </row>
    <row r="62" spans="1:7" ht="18" customHeight="1">
      <c r="A62" s="57" t="str">
        <f>'Приложение 3'!A71</f>
        <v>Подпрограмма "Профилактика правонарушений"</v>
      </c>
      <c r="B62" s="72" t="s">
        <v>155</v>
      </c>
      <c r="C62" s="72" t="s">
        <v>185</v>
      </c>
      <c r="D62" s="72" t="s">
        <v>182</v>
      </c>
      <c r="E62" s="73">
        <f>SUM('Приложение 3'!G71)</f>
        <v>35</v>
      </c>
      <c r="F62" s="73">
        <f>SUM('Приложение 3'!H71)</f>
        <v>0</v>
      </c>
      <c r="G62" s="73">
        <f t="shared" si="0"/>
        <v>0</v>
      </c>
    </row>
    <row r="63" spans="1:7" ht="30.75" customHeight="1">
      <c r="A63" s="58" t="s">
        <v>282</v>
      </c>
      <c r="B63" s="40" t="s">
        <v>155</v>
      </c>
      <c r="C63" s="40" t="s">
        <v>185</v>
      </c>
      <c r="D63" s="40" t="s">
        <v>2</v>
      </c>
      <c r="E63" s="71">
        <f>SUM('Приложение 3'!G72)</f>
        <v>35</v>
      </c>
      <c r="F63" s="71">
        <f>SUM('Приложение 3'!H72)</f>
        <v>0</v>
      </c>
      <c r="G63" s="71">
        <f t="shared" si="0"/>
        <v>0</v>
      </c>
    </row>
    <row r="64" spans="1:7" ht="24.75" customHeight="1">
      <c r="A64" s="57" t="str">
        <f>'Приложение 3'!A73</f>
        <v>Подпрограмма "Формирование законопослушного поведения участников дорожного движения"</v>
      </c>
      <c r="B64" s="72" t="s">
        <v>155</v>
      </c>
      <c r="C64" s="72" t="s">
        <v>186</v>
      </c>
      <c r="D64" s="72" t="s">
        <v>182</v>
      </c>
      <c r="E64" s="73">
        <f>SUM('Приложение 3'!G73)</f>
        <v>15</v>
      </c>
      <c r="F64" s="73">
        <f>SUM('Приложение 3'!H73)</f>
        <v>0</v>
      </c>
      <c r="G64" s="73">
        <f t="shared" si="0"/>
        <v>0</v>
      </c>
    </row>
    <row r="65" spans="1:7" ht="33" customHeight="1">
      <c r="A65" s="58" t="s">
        <v>278</v>
      </c>
      <c r="B65" s="40" t="s">
        <v>155</v>
      </c>
      <c r="C65" s="40" t="s">
        <v>186</v>
      </c>
      <c r="D65" s="40" t="s">
        <v>2</v>
      </c>
      <c r="E65" s="71">
        <f>SUM('Приложение 3'!G74)</f>
        <v>15</v>
      </c>
      <c r="F65" s="71">
        <f>SUM('Приложение 3'!H74)</f>
        <v>0</v>
      </c>
      <c r="G65" s="71">
        <f t="shared" si="0"/>
        <v>0</v>
      </c>
    </row>
    <row r="66" spans="1:7" ht="39.75" customHeight="1" hidden="1">
      <c r="A66" s="57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6" s="72" t="s">
        <v>225</v>
      </c>
      <c r="C66" s="72" t="s">
        <v>9</v>
      </c>
      <c r="D66" s="72" t="s">
        <v>182</v>
      </c>
      <c r="E66" s="73">
        <f>SUM('Приложение 3'!G75)</f>
        <v>0</v>
      </c>
      <c r="F66" s="73">
        <f>SUM('Приложение 3'!H75)</f>
        <v>0</v>
      </c>
      <c r="G66" s="71" t="e">
        <f t="shared" si="0"/>
        <v>#DIV/0!</v>
      </c>
    </row>
    <row r="67" spans="1:7" ht="63.75" customHeight="1" hidden="1">
      <c r="A67" s="59" t="s">
        <v>224</v>
      </c>
      <c r="B67" s="40" t="s">
        <v>225</v>
      </c>
      <c r="C67" s="40" t="s">
        <v>9</v>
      </c>
      <c r="D67" s="40" t="s">
        <v>2</v>
      </c>
      <c r="E67" s="71">
        <f>SUM('Приложение 3'!G76)</f>
        <v>0</v>
      </c>
      <c r="F67" s="71">
        <f>SUM('Приложение 3'!H76)</f>
        <v>0</v>
      </c>
      <c r="G67" s="71" t="e">
        <f t="shared" si="0"/>
        <v>#DIV/0!</v>
      </c>
    </row>
    <row r="68" spans="1:7" ht="108" customHeight="1">
      <c r="A68" s="57" t="str">
        <f>'Приложение 3'!A161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8" s="72" t="s">
        <v>209</v>
      </c>
      <c r="C68" s="72" t="s">
        <v>9</v>
      </c>
      <c r="D68" s="72" t="s">
        <v>182</v>
      </c>
      <c r="E68" s="73">
        <f>SUM(E69:E70)</f>
        <v>1035.111</v>
      </c>
      <c r="F68" s="73">
        <f>SUM(F69:F70)</f>
        <v>0</v>
      </c>
      <c r="G68" s="73">
        <f t="shared" si="0"/>
        <v>0</v>
      </c>
    </row>
    <row r="69" spans="1:7" ht="73.5" customHeight="1">
      <c r="A69" s="58" t="s">
        <v>245</v>
      </c>
      <c r="B69" s="40" t="s">
        <v>209</v>
      </c>
      <c r="C69" s="40" t="s">
        <v>9</v>
      </c>
      <c r="D69" s="40" t="s">
        <v>2</v>
      </c>
      <c r="E69" s="71">
        <f>SUM('Приложение 3'!G162+'Приложение 3'!G189)-E70</f>
        <v>403.19100000000014</v>
      </c>
      <c r="F69" s="71">
        <f>SUM('Приложение 3'!H162+'Приложение 3'!H189)-F70</f>
        <v>0</v>
      </c>
      <c r="G69" s="71">
        <f t="shared" si="0"/>
        <v>0</v>
      </c>
    </row>
    <row r="70" spans="1:7" ht="62.25" customHeight="1">
      <c r="A70" s="58" t="s">
        <v>306</v>
      </c>
      <c r="B70" s="40" t="s">
        <v>209</v>
      </c>
      <c r="C70" s="40" t="s">
        <v>9</v>
      </c>
      <c r="D70" s="40" t="s">
        <v>6</v>
      </c>
      <c r="E70" s="71">
        <v>631.92</v>
      </c>
      <c r="F70" s="71">
        <v>0</v>
      </c>
      <c r="G70" s="71">
        <f t="shared" si="0"/>
        <v>0</v>
      </c>
    </row>
    <row r="71" spans="1:7" ht="40.5" customHeight="1">
      <c r="A71" s="57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72" t="s">
        <v>189</v>
      </c>
      <c r="C71" s="72">
        <f>'Приложение 3'!E133</f>
        <v>0</v>
      </c>
      <c r="D71" s="72" t="s">
        <v>182</v>
      </c>
      <c r="E71" s="73">
        <f>SUM('Приложение 3'!G77)</f>
        <v>50</v>
      </c>
      <c r="F71" s="73">
        <f>SUM('Приложение 3'!H77)</f>
        <v>0</v>
      </c>
      <c r="G71" s="73">
        <f t="shared" si="0"/>
        <v>0</v>
      </c>
    </row>
    <row r="72" spans="1:7" ht="36">
      <c r="A72" s="58" t="s">
        <v>201</v>
      </c>
      <c r="B72" s="40" t="s">
        <v>189</v>
      </c>
      <c r="C72" s="40" t="s">
        <v>9</v>
      </c>
      <c r="D72" s="40" t="s">
        <v>2</v>
      </c>
      <c r="E72" s="71">
        <f>SUM('Приложение 3'!G78)</f>
        <v>50</v>
      </c>
      <c r="F72" s="71">
        <f>SUM('Приложение 3'!H78)</f>
        <v>0</v>
      </c>
      <c r="G72" s="71">
        <f t="shared" si="0"/>
        <v>0</v>
      </c>
    </row>
    <row r="73" spans="1:7" ht="12.75">
      <c r="A73" s="50" t="s">
        <v>100</v>
      </c>
      <c r="B73" s="40"/>
      <c r="C73" s="41"/>
      <c r="D73" s="76"/>
      <c r="E73" s="73">
        <f>SUM(E9+E11+E23+E27+E31+E45+E47+E49+E51+E53+E55+E59+E61+E68+E71+E40+E66+E42+E20+E29)</f>
        <v>210358.04415</v>
      </c>
      <c r="F73" s="73">
        <f>SUM(F9+F11+F23+F27+F31+F45+F47+F49+F51+F53+F55+F59+F61+F68+F71+F40+F66+F42+F20+F29)</f>
        <v>6561.4150500000005</v>
      </c>
      <c r="G73" s="73">
        <f>SUM(F73/E73)*100</f>
        <v>3.1191652672532233</v>
      </c>
    </row>
    <row r="74" ht="15">
      <c r="D74" s="17"/>
    </row>
    <row r="75" spans="1:7" s="14" customFormat="1" ht="15">
      <c r="A75" s="7"/>
      <c r="B75" s="12"/>
      <c r="C75" s="13"/>
      <c r="D75" s="17"/>
      <c r="E75" s="2"/>
      <c r="F75" s="2"/>
      <c r="G75" s="2"/>
    </row>
    <row r="76" spans="1:7" s="14" customFormat="1" ht="15">
      <c r="A76" s="7"/>
      <c r="B76" s="12"/>
      <c r="C76" s="13"/>
      <c r="D76" s="17"/>
      <c r="E76" s="2"/>
      <c r="F76" s="2"/>
      <c r="G76" s="2"/>
    </row>
    <row r="77" ht="15">
      <c r="D77" s="17"/>
    </row>
    <row r="78" ht="15">
      <c r="D78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7" t="s">
        <v>229</v>
      </c>
      <c r="D1" s="107"/>
      <c r="E1" s="107"/>
      <c r="F1" s="107"/>
      <c r="G1" s="107"/>
    </row>
    <row r="2" spans="3:7" ht="16.5">
      <c r="C2" s="107" t="s">
        <v>124</v>
      </c>
      <c r="D2" s="107"/>
      <c r="E2" s="107"/>
      <c r="F2" s="107"/>
      <c r="G2" s="107"/>
    </row>
    <row r="3" spans="3:7" ht="16.5">
      <c r="C3" s="107" t="s">
        <v>125</v>
      </c>
      <c r="D3" s="107"/>
      <c r="E3" s="107"/>
      <c r="F3" s="107"/>
      <c r="G3" s="107"/>
    </row>
    <row r="4" spans="1:7" ht="21.75" customHeight="1">
      <c r="A4" s="8"/>
      <c r="B4" s="1"/>
      <c r="C4" s="107" t="s">
        <v>156</v>
      </c>
      <c r="D4" s="107"/>
      <c r="E4" s="107"/>
      <c r="F4" s="107"/>
      <c r="G4" s="107"/>
    </row>
    <row r="5" spans="1:7" ht="39.75" customHeight="1">
      <c r="A5" s="113" t="s">
        <v>348</v>
      </c>
      <c r="B5" s="113"/>
      <c r="C5" s="113"/>
      <c r="D5" s="113"/>
      <c r="E5" s="113"/>
      <c r="F5" s="113"/>
      <c r="G5" s="113"/>
    </row>
    <row r="6" spans="1:4" ht="12.75" hidden="1">
      <c r="A6" s="30"/>
      <c r="B6" s="31"/>
      <c r="C6" s="32"/>
      <c r="D6" s="33"/>
    </row>
    <row r="7" spans="1:7" ht="12.75">
      <c r="A7" s="30"/>
      <c r="B7" s="31"/>
      <c r="C7" s="32"/>
      <c r="D7" s="33"/>
      <c r="E7" s="115"/>
      <c r="F7" s="115"/>
      <c r="G7" s="87" t="s">
        <v>303</v>
      </c>
    </row>
    <row r="8" spans="1:7" ht="81" customHeight="1">
      <c r="A8" s="39" t="s">
        <v>1</v>
      </c>
      <c r="B8" s="43" t="s">
        <v>220</v>
      </c>
      <c r="C8" s="41" t="s">
        <v>283</v>
      </c>
      <c r="D8" s="43" t="s">
        <v>172</v>
      </c>
      <c r="E8" s="34" t="s">
        <v>339</v>
      </c>
      <c r="F8" s="34" t="s">
        <v>340</v>
      </c>
      <c r="G8" s="34" t="s">
        <v>338</v>
      </c>
    </row>
    <row r="9" spans="1:7" ht="63" customHeight="1" outlineLevel="5">
      <c r="A9" s="51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72" t="s">
        <v>14</v>
      </c>
      <c r="C9" s="72" t="s">
        <v>9</v>
      </c>
      <c r="D9" s="72"/>
      <c r="E9" s="73">
        <f>SUM(E10)</f>
        <v>25020</v>
      </c>
      <c r="F9" s="73">
        <f>SUM(F10)</f>
        <v>8413.00272</v>
      </c>
      <c r="G9" s="73">
        <f aca="true" t="shared" si="0" ref="G9:G34">SUM(F9/E9)*100</f>
        <v>33.62511079136691</v>
      </c>
    </row>
    <row r="10" spans="1:7" ht="28.5" customHeight="1" outlineLevel="2">
      <c r="A10" s="50" t="str">
        <f>'Приложение 3'!A80</f>
        <v>Предоставление субсидий бюджетным, автономным учреждениям и иным некоммерческим организациям</v>
      </c>
      <c r="B10" s="40" t="s">
        <v>14</v>
      </c>
      <c r="C10" s="40" t="s">
        <v>9</v>
      </c>
      <c r="D10" s="40" t="s">
        <v>179</v>
      </c>
      <c r="E10" s="71">
        <f>SUM('Приложение 3'!G79)</f>
        <v>25020</v>
      </c>
      <c r="F10" s="71">
        <f>SUM('Приложение 3'!H79)</f>
        <v>8413.00272</v>
      </c>
      <c r="G10" s="71">
        <f t="shared" si="0"/>
        <v>33.62511079136691</v>
      </c>
    </row>
    <row r="11" spans="1:7" ht="35.25" customHeight="1" outlineLevel="1">
      <c r="A11" s="51" t="str">
        <f>'Приложение 3'!A163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72" t="str">
        <f>'Приложение 3'!D163</f>
        <v>52</v>
      </c>
      <c r="C11" s="72">
        <f>'Приложение 3'!E163</f>
        <v>0</v>
      </c>
      <c r="D11" s="72"/>
      <c r="E11" s="73">
        <f>SUM(E12)</f>
        <v>25343</v>
      </c>
      <c r="F11" s="73">
        <f>SUM(F12)</f>
        <v>4382.5138799999995</v>
      </c>
      <c r="G11" s="73">
        <f t="shared" si="0"/>
        <v>17.292798326954188</v>
      </c>
    </row>
    <row r="12" spans="1:7" ht="27.75" customHeight="1" outlineLevel="1">
      <c r="A12" s="50" t="str">
        <f>'Приложение 3'!A164</f>
        <v>Предоставление субсидий бюджетным, автономным учреждениям и иным некоммерческим организациям</v>
      </c>
      <c r="B12" s="40" t="str">
        <f>'Приложение 3'!D164</f>
        <v>52</v>
      </c>
      <c r="C12" s="40">
        <f>'Приложение 3'!E164</f>
        <v>0</v>
      </c>
      <c r="D12" s="40" t="s">
        <v>179</v>
      </c>
      <c r="E12" s="71">
        <f>SUM('Приложение 3'!G163)</f>
        <v>25343</v>
      </c>
      <c r="F12" s="71">
        <f>SUM('Приложение 3'!H163)</f>
        <v>4382.5138799999995</v>
      </c>
      <c r="G12" s="71">
        <f t="shared" si="0"/>
        <v>17.292798326954188</v>
      </c>
    </row>
    <row r="13" spans="1:7" ht="36" outlineLevel="5">
      <c r="A13" s="51" t="str">
        <f>'Приложение 3'!A192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72" t="str">
        <f>'Приложение 3'!D192</f>
        <v>53</v>
      </c>
      <c r="C13" s="72">
        <f>'Приложение 3'!E192</f>
        <v>0</v>
      </c>
      <c r="D13" s="72"/>
      <c r="E13" s="73">
        <f>SUM(E14+E16+E21)</f>
        <v>197571.27964000005</v>
      </c>
      <c r="F13" s="73">
        <f>SUM(F14+F16+F21)</f>
        <v>40717.25376000001</v>
      </c>
      <c r="G13" s="73">
        <f t="shared" si="0"/>
        <v>20.608893070992913</v>
      </c>
    </row>
    <row r="14" spans="1:7" ht="13.5" customHeight="1" outlineLevel="5">
      <c r="A14" s="51" t="str">
        <f>'Приложение 3'!A170</f>
        <v>Подпрограмма "Развитие дошкольного образования детей"</v>
      </c>
      <c r="B14" s="72" t="str">
        <f>'Приложение 3'!D193</f>
        <v>53</v>
      </c>
      <c r="C14" s="72" t="s">
        <v>185</v>
      </c>
      <c r="D14" s="72"/>
      <c r="E14" s="73">
        <f>SUM(E15)</f>
        <v>12233</v>
      </c>
      <c r="F14" s="73">
        <f>SUM(F15)</f>
        <v>2103.14633</v>
      </c>
      <c r="G14" s="73">
        <f t="shared" si="0"/>
        <v>17.19240031063517</v>
      </c>
    </row>
    <row r="15" spans="1:7" ht="24" outlineLevel="5">
      <c r="A15" s="50" t="str">
        <f>'Приложение 3'!A173</f>
        <v>Предоставление субсидий бюджетным, автономным учреждениям и иным некоммерческим организациям</v>
      </c>
      <c r="B15" s="40" t="s">
        <v>20</v>
      </c>
      <c r="C15" s="40" t="s">
        <v>185</v>
      </c>
      <c r="D15" s="40" t="s">
        <v>9</v>
      </c>
      <c r="E15" s="71">
        <f>SUM('Приложение 3'!G169)</f>
        <v>12233</v>
      </c>
      <c r="F15" s="71">
        <f>SUM('Приложение 3'!H169)</f>
        <v>2103.14633</v>
      </c>
      <c r="G15" s="71">
        <f t="shared" si="0"/>
        <v>17.19240031063517</v>
      </c>
    </row>
    <row r="16" spans="1:7" ht="15" customHeight="1" outlineLevel="5">
      <c r="A16" s="51" t="str">
        <f>'Приложение 3'!A193</f>
        <v>Подпрограмма "Развитие общего образования детей"</v>
      </c>
      <c r="B16" s="72" t="s">
        <v>20</v>
      </c>
      <c r="C16" s="72" t="s">
        <v>186</v>
      </c>
      <c r="D16" s="72"/>
      <c r="E16" s="73">
        <f>SUM(E17:E20)</f>
        <v>175438.27964000005</v>
      </c>
      <c r="F16" s="73">
        <f>SUM(F17:F20)</f>
        <v>36363.80053</v>
      </c>
      <c r="G16" s="73">
        <f t="shared" si="0"/>
        <v>20.72740373686897</v>
      </c>
    </row>
    <row r="17" spans="1:7" ht="49.5" customHeight="1" outlineLevel="5">
      <c r="A17" s="50" t="str">
        <f>'Приложение 3'!A195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0" t="s">
        <v>20</v>
      </c>
      <c r="C17" s="40" t="s">
        <v>186</v>
      </c>
      <c r="D17" s="40" t="s">
        <v>177</v>
      </c>
      <c r="E17" s="71">
        <f>SUM('Приложение 3'!G195+'Приложение 3'!G202+'Приложение 3'!G203+'Приложение 3'!G204)</f>
        <v>7851.400000000001</v>
      </c>
      <c r="F17" s="71">
        <f>SUM('Приложение 3'!H195+'Приложение 3'!H202+'Приложение 3'!H203+'Приложение 3'!H204)</f>
        <v>1621.26729</v>
      </c>
      <c r="G17" s="71">
        <f t="shared" si="0"/>
        <v>20.64940380059607</v>
      </c>
    </row>
    <row r="18" spans="1:7" ht="26.25" customHeight="1" outlineLevel="5">
      <c r="A18" s="50" t="str">
        <f>'Приложение 3'!A196</f>
        <v>Закупка товаров, работ и услуг для государственных (муниципальных) нужд</v>
      </c>
      <c r="B18" s="40" t="s">
        <v>20</v>
      </c>
      <c r="C18" s="40" t="s">
        <v>186</v>
      </c>
      <c r="D18" s="40" t="s">
        <v>154</v>
      </c>
      <c r="E18" s="71">
        <f>SUM('Приложение 3'!G196+'Приложение 3'!G205+'Приложение 3'!G206+'Приложение 3'!G207+'Приложение 3'!G197)</f>
        <v>1772.5</v>
      </c>
      <c r="F18" s="71">
        <f>SUM('Приложение 3'!H196+'Приложение 3'!H205+'Приложение 3'!H206+'Приложение 3'!H207+'Приложение 3'!H197)</f>
        <v>473.03866</v>
      </c>
      <c r="G18" s="71">
        <f t="shared" si="0"/>
        <v>26.68765359661495</v>
      </c>
    </row>
    <row r="19" spans="1:7" ht="12.75" customHeight="1" outlineLevel="5">
      <c r="A19" s="50" t="str">
        <f>'Приложение 3'!A198</f>
        <v>Иные бюджетные ассигнования</v>
      </c>
      <c r="B19" s="40" t="s">
        <v>20</v>
      </c>
      <c r="C19" s="40" t="s">
        <v>186</v>
      </c>
      <c r="D19" s="40" t="s">
        <v>178</v>
      </c>
      <c r="E19" s="71">
        <f>SUM('Приложение 3'!G198)</f>
        <v>50.2</v>
      </c>
      <c r="F19" s="71">
        <f>SUM('Приложение 3'!H198)</f>
        <v>10.00445</v>
      </c>
      <c r="G19" s="71">
        <f t="shared" si="0"/>
        <v>19.92918326693227</v>
      </c>
    </row>
    <row r="20" spans="1:7" ht="26.25" customHeight="1" outlineLevel="5">
      <c r="A20" s="50" t="str">
        <f>'Приложение 3'!A199</f>
        <v>Предоставление субсидий бюджетным, автономным учреждениям и иным некоммерческим организациям</v>
      </c>
      <c r="B20" s="40" t="s">
        <v>20</v>
      </c>
      <c r="C20" s="40" t="s">
        <v>186</v>
      </c>
      <c r="D20" s="40" t="s">
        <v>179</v>
      </c>
      <c r="E20" s="71">
        <f>SUM('Приложение 3'!G199+'Приложение 3'!G209+'Приложение 3'!G210+'Приложение 3'!G212+'Приложение 3'!G214+'Приложение 3'!G211+'Приложение 3'!G208+'Приложение 3'!G200+'Приложение 3'!G213)</f>
        <v>165764.17964000005</v>
      </c>
      <c r="F20" s="71">
        <f>SUM('Приложение 3'!H199+'Приложение 3'!H209+'Приложение 3'!H210+'Приложение 3'!H212+'Приложение 3'!H214+'Приложение 3'!H211+'Приложение 3'!H208+'Приложение 3'!H200+'Приложение 3'!H213)</f>
        <v>34259.49013</v>
      </c>
      <c r="G20" s="71">
        <f t="shared" si="0"/>
        <v>20.66760756419353</v>
      </c>
    </row>
    <row r="21" spans="1:7" ht="24" outlineLevel="3">
      <c r="A21" s="51" t="str">
        <f>'Приложение 3'!A220</f>
        <v>Подпрограмма "Развитие дополнительного образования детей"</v>
      </c>
      <c r="B21" s="72" t="str">
        <f>'Приложение 3'!D219</f>
        <v>53</v>
      </c>
      <c r="C21" s="72" t="s">
        <v>187</v>
      </c>
      <c r="D21" s="72"/>
      <c r="E21" s="73">
        <f>SUM(E22:E23)</f>
        <v>9900</v>
      </c>
      <c r="F21" s="73">
        <f>SUM(F22:F23)</f>
        <v>2250.3069</v>
      </c>
      <c r="G21" s="73">
        <f t="shared" si="0"/>
        <v>22.730372727272727</v>
      </c>
    </row>
    <row r="22" spans="1:7" ht="24.75" customHeight="1" outlineLevel="3">
      <c r="A22" s="50" t="str">
        <f>'Приложение 3'!A221</f>
        <v>Предоставление субсидий бюджетным, автономным учреждениям и иным некоммерческим организациям (ДШИ)</v>
      </c>
      <c r="B22" s="40" t="str">
        <f>'Приложение 3'!D221</f>
        <v>53</v>
      </c>
      <c r="C22" s="40">
        <f>'Приложение 3'!E221</f>
        <v>3</v>
      </c>
      <c r="D22" s="43">
        <f>'Приложение 3'!F221</f>
        <v>600</v>
      </c>
      <c r="E22" s="71">
        <f>'Приложение 3'!G221</f>
        <v>5800</v>
      </c>
      <c r="F22" s="71">
        <f>'Приложение 3'!H221</f>
        <v>1439.63264</v>
      </c>
      <c r="G22" s="71">
        <f t="shared" si="0"/>
        <v>24.821252413793104</v>
      </c>
    </row>
    <row r="23" spans="1:7" ht="35.25" customHeight="1" outlineLevel="3">
      <c r="A23" s="50" t="str">
        <f>'Приложение 3'!A222</f>
        <v>Предоставление субсидий бюджетным, автономным учреждениям и иным некоммерческим организациям (ДЮСШ)</v>
      </c>
      <c r="B23" s="40" t="str">
        <f>'Приложение 3'!D222</f>
        <v>53</v>
      </c>
      <c r="C23" s="40">
        <f>'Приложение 3'!E222</f>
        <v>3</v>
      </c>
      <c r="D23" s="43">
        <f>'Приложение 3'!F222</f>
        <v>600</v>
      </c>
      <c r="E23" s="71">
        <f>'Приложение 3'!G222</f>
        <v>4100</v>
      </c>
      <c r="F23" s="71">
        <f>'Приложение 3'!H222</f>
        <v>810.67426</v>
      </c>
      <c r="G23" s="71">
        <f t="shared" si="0"/>
        <v>19.772542926829267</v>
      </c>
    </row>
    <row r="24" spans="1:7" ht="36" outlineLevel="3">
      <c r="A24" s="52" t="str">
        <f>'Приложение 3'!A233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72" t="str">
        <f>'Приложение 3'!D233</f>
        <v>56</v>
      </c>
      <c r="C24" s="72">
        <f>'Приложение 3'!E233</f>
        <v>0</v>
      </c>
      <c r="D24" s="72"/>
      <c r="E24" s="73">
        <f>SUM(E25)</f>
        <v>4500</v>
      </c>
      <c r="F24" s="73">
        <f>SUM(F25)</f>
        <v>1104.51357</v>
      </c>
      <c r="G24" s="73">
        <f t="shared" si="0"/>
        <v>24.544746</v>
      </c>
    </row>
    <row r="25" spans="1:7" ht="24" outlineLevel="3">
      <c r="A25" s="49" t="str">
        <f>'Приложение 3'!A234</f>
        <v>Предоставление субсидий бюджетным, автономным учреждениям и иным некоммерческим организациям</v>
      </c>
      <c r="B25" s="40" t="str">
        <f>'Приложение 3'!D234</f>
        <v>56</v>
      </c>
      <c r="C25" s="40">
        <f>'Приложение 3'!E234</f>
        <v>0</v>
      </c>
      <c r="D25" s="40">
        <f>'Приложение 3'!F234</f>
        <v>600</v>
      </c>
      <c r="E25" s="71">
        <f>SUM('Приложение 3'!G233)</f>
        <v>4500</v>
      </c>
      <c r="F25" s="71">
        <f>SUM('Приложение 3'!H233)</f>
        <v>1104.51357</v>
      </c>
      <c r="G25" s="71">
        <f t="shared" si="0"/>
        <v>24.544746</v>
      </c>
    </row>
    <row r="26" spans="1:7" ht="48" outlineLevel="3">
      <c r="A26" s="52" t="str">
        <f>'Приложение 3'!A242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72" t="str">
        <f>'Приложение 3'!D242</f>
        <v>58</v>
      </c>
      <c r="C26" s="72">
        <f>'Приложение 3'!E242</f>
        <v>0</v>
      </c>
      <c r="D26" s="72"/>
      <c r="E26" s="73">
        <f>SUM(E27:E29)</f>
        <v>1295</v>
      </c>
      <c r="F26" s="73">
        <f>SUM(F27:F29)</f>
        <v>253.27864</v>
      </c>
      <c r="G26" s="73">
        <f t="shared" si="0"/>
        <v>19.558196138996138</v>
      </c>
    </row>
    <row r="27" spans="1:7" ht="48" outlineLevel="3">
      <c r="A27" s="49" t="str">
        <f>'Приложение 3'!A243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0" t="s">
        <v>22</v>
      </c>
      <c r="C27" s="40" t="s">
        <v>9</v>
      </c>
      <c r="D27" s="40" t="s">
        <v>177</v>
      </c>
      <c r="E27" s="71">
        <f>SUM('Приложение 3'!G243)</f>
        <v>1240.2</v>
      </c>
      <c r="F27" s="71">
        <f>SUM('Приложение 3'!H243)</f>
        <v>253.27864</v>
      </c>
      <c r="G27" s="71">
        <f t="shared" si="0"/>
        <v>20.422402838251895</v>
      </c>
    </row>
    <row r="28" spans="1:7" ht="24" outlineLevel="3">
      <c r="A28" s="49" t="str">
        <f>'Приложение 3'!A244</f>
        <v>Закупка товаров, работ и услуг для государственных (муниципальных) нужд</v>
      </c>
      <c r="B28" s="40" t="s">
        <v>22</v>
      </c>
      <c r="C28" s="40" t="s">
        <v>9</v>
      </c>
      <c r="D28" s="40" t="s">
        <v>154</v>
      </c>
      <c r="E28" s="71">
        <f>SUM('Приложение 3'!G244)</f>
        <v>54.8</v>
      </c>
      <c r="F28" s="71">
        <f>SUM('Приложение 3'!H244)</f>
        <v>0</v>
      </c>
      <c r="G28" s="71">
        <f t="shared" si="0"/>
        <v>0</v>
      </c>
    </row>
    <row r="29" spans="1:7" ht="12.75" hidden="1" outlineLevel="3">
      <c r="A29" s="49" t="str">
        <f>'Приложение 3'!A245</f>
        <v>Иные бюджетные ассигнования</v>
      </c>
      <c r="B29" s="40" t="s">
        <v>22</v>
      </c>
      <c r="C29" s="40" t="s">
        <v>9</v>
      </c>
      <c r="D29" s="40" t="s">
        <v>178</v>
      </c>
      <c r="E29" s="71">
        <f>SUM('Приложение 3'!G245)</f>
        <v>0</v>
      </c>
      <c r="F29" s="71">
        <f>SUM('Приложение 3'!H245)</f>
        <v>0</v>
      </c>
      <c r="G29" s="71">
        <v>0</v>
      </c>
    </row>
    <row r="30" spans="1:7" ht="36" outlineLevel="5">
      <c r="A30" s="52" t="str">
        <f>'Приложение 3'!A257</f>
        <v>Ведомственная целевая программа "Развитие культуры и искусства в Алексеевском муниципальном районе на 2019-2021 годы"</v>
      </c>
      <c r="B30" s="72" t="str">
        <f>'Приложение 3'!D257</f>
        <v>59</v>
      </c>
      <c r="C30" s="72">
        <f>'Приложение 3'!E257</f>
        <v>0</v>
      </c>
      <c r="D30" s="72"/>
      <c r="E30" s="73">
        <f>SUM(E31)</f>
        <v>13300</v>
      </c>
      <c r="F30" s="73">
        <f>SUM(F31)</f>
        <v>2715.54316</v>
      </c>
      <c r="G30" s="73">
        <f t="shared" si="0"/>
        <v>20.417617744360903</v>
      </c>
    </row>
    <row r="31" spans="1:7" ht="24" outlineLevel="5">
      <c r="A31" s="49" t="str">
        <f>'Приложение 3'!A259</f>
        <v>Предоставление субсидий бюджетным, автономным учреждениям и иным некоммерческим организациям</v>
      </c>
      <c r="B31" s="40" t="s">
        <v>23</v>
      </c>
      <c r="C31" s="40" t="s">
        <v>9</v>
      </c>
      <c r="D31" s="40" t="s">
        <v>179</v>
      </c>
      <c r="E31" s="71">
        <f>SUM('Приложение 3'!G257)</f>
        <v>13300</v>
      </c>
      <c r="F31" s="71">
        <f>SUM('Приложение 3'!H257)</f>
        <v>2715.54316</v>
      </c>
      <c r="G31" s="71">
        <f t="shared" si="0"/>
        <v>20.417617744360903</v>
      </c>
    </row>
    <row r="32" spans="1:7" ht="36">
      <c r="A32" s="51" t="str">
        <f>'Приложение 3'!A316</f>
        <v>Ведомственная целевая программа "Поддержка средств массовой информации в Алексеевском муниципальном районе на 2019-2021 годы"</v>
      </c>
      <c r="B32" s="72" t="str">
        <f>'Приложение 3'!D316</f>
        <v>61</v>
      </c>
      <c r="C32" s="72">
        <f>'Приложение 3'!E316</f>
        <v>0</v>
      </c>
      <c r="D32" s="72"/>
      <c r="E32" s="73">
        <f>SUM(E33)</f>
        <v>2271.5</v>
      </c>
      <c r="F32" s="73">
        <f>SUM(F33)</f>
        <v>605</v>
      </c>
      <c r="G32" s="73">
        <f t="shared" si="0"/>
        <v>26.634382566585955</v>
      </c>
    </row>
    <row r="33" spans="1:7" ht="24">
      <c r="A33" s="50" t="str">
        <f>'Приложение 3'!A317</f>
        <v>Предоставление субсидий бюджетным, автономным учреждениям и иным некоммерческим организациям</v>
      </c>
      <c r="B33" s="40" t="str">
        <f>'Приложение 3'!D317</f>
        <v>61</v>
      </c>
      <c r="C33" s="40">
        <f>'Приложение 3'!E317</f>
        <v>0</v>
      </c>
      <c r="D33" s="40">
        <f>'Приложение 3'!F317</f>
        <v>600</v>
      </c>
      <c r="E33" s="71">
        <f>'Приложение 3'!G316</f>
        <v>2271.5</v>
      </c>
      <c r="F33" s="71">
        <f>'Приложение 3'!H316</f>
        <v>605</v>
      </c>
      <c r="G33" s="71">
        <f t="shared" si="0"/>
        <v>26.634382566585955</v>
      </c>
    </row>
    <row r="34" spans="1:7" ht="12.75">
      <c r="A34" s="51" t="s">
        <v>100</v>
      </c>
      <c r="B34" s="72"/>
      <c r="C34" s="74"/>
      <c r="D34" s="75"/>
      <c r="E34" s="73">
        <f>SUM(E9+E11+E13+E24+E26+E30+E32)</f>
        <v>269300.7796400001</v>
      </c>
      <c r="F34" s="73">
        <f>SUM(F9+F11+F13+F24+F26+F30+F32)</f>
        <v>58191.10573000001</v>
      </c>
      <c r="G34" s="73">
        <f t="shared" si="0"/>
        <v>21.60822029842973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2021-04-22T05:43:15Z</cp:lastPrinted>
  <dcterms:created xsi:type="dcterms:W3CDTF">2002-03-11T10:22:12Z</dcterms:created>
  <dcterms:modified xsi:type="dcterms:W3CDTF">2021-04-22T05:43:55Z</dcterms:modified>
  <cp:category/>
  <cp:version/>
  <cp:contentType/>
  <cp:contentStatus/>
</cp:coreProperties>
</file>