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16" windowWidth="16950" windowHeight="12780" firstSheet="4" activeTab="4"/>
  </bookViews>
  <sheets>
    <sheet name="Приложение 2" sheetId="1" state="hidden" r:id="rId1"/>
    <sheet name="Приложение 3" sheetId="2" state="hidden" r:id="rId2"/>
    <sheet name="Таблица №6" sheetId="3" state="hidden" r:id="rId3"/>
    <sheet name="Таблица №10" sheetId="4" state="hidden" r:id="rId4"/>
    <sheet name="Таблица №13" sheetId="5" r:id="rId5"/>
  </sheets>
  <externalReferences>
    <externalReference r:id="rId8"/>
  </externalReferences>
  <definedNames>
    <definedName name="APPT" localSheetId="0">'Приложение 2'!#REF!</definedName>
    <definedName name="APPT" localSheetId="3">'Таблица №10'!#REF!</definedName>
    <definedName name="APPT" localSheetId="4">'Таблица №13'!#REF!</definedName>
    <definedName name="APPT" localSheetId="2">'Таблица №6'!#REF!</definedName>
    <definedName name="FIO" localSheetId="0">'Приложение 2'!#REF!</definedName>
    <definedName name="FIO" localSheetId="3">'Таблица №10'!#REF!</definedName>
    <definedName name="FIO" localSheetId="4">'Таблица №13'!#REF!</definedName>
    <definedName name="FIO" localSheetId="2">'Таблица №6'!#REF!</definedName>
    <definedName name="SIGN" localSheetId="0">'Приложение 2'!$A$23:$E$24</definedName>
    <definedName name="SIGN" localSheetId="3">'Таблица №10'!#REF!</definedName>
    <definedName name="SIGN" localSheetId="4">'Таблица №13'!#REF!</definedName>
    <definedName name="SIGN" localSheetId="2">'Таблица №6'!#REF!</definedName>
    <definedName name="_xlnm.Print_Area" localSheetId="3">'Таблица №10'!$A$1:$G$74</definedName>
  </definedNames>
  <calcPr fullCalcOnLoad="1"/>
</workbook>
</file>

<file path=xl/sharedStrings.xml><?xml version="1.0" encoding="utf-8"?>
<sst xmlns="http://schemas.openxmlformats.org/spreadsheetml/2006/main" count="1772" uniqueCount="358">
  <si>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</si>
  <si>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</si>
  <si>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</si>
  <si>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</si>
  <si>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</si>
  <si>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</si>
  <si>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</si>
  <si>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</si>
  <si>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</si>
  <si>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</si>
  <si>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</si>
  <si>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</si>
  <si>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</si>
  <si>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</si>
  <si>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</si>
  <si>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</si>
  <si>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</si>
  <si>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</si>
  <si>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</si>
  <si>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</si>
  <si>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</si>
  <si>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</si>
  <si>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</si>
  <si>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</si>
  <si>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</si>
  <si>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</si>
  <si>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</si>
  <si>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</si>
  <si>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</si>
  <si>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</si>
  <si>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</si>
  <si>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</si>
  <si>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</si>
  <si>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</si>
  <si>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</si>
  <si>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</si>
  <si>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</si>
  <si>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</si>
  <si>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</si>
  <si>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</si>
  <si>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</si>
  <si>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</si>
  <si>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</si>
  <si>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</si>
  <si>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</si>
  <si>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</si>
  <si>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</si>
  <si>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</si>
  <si>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</si>
  <si>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</si>
  <si>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</si>
  <si>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</si>
  <si>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</si>
  <si>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</si>
  <si>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</si>
  <si>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</si>
  <si>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</si>
  <si>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</si>
  <si>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</si>
  <si>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</si>
  <si>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</si>
  <si>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</si>
  <si>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</si>
  <si>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</si>
  <si>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</si>
  <si>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</si>
  <si>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</si>
  <si>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</si>
  <si>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</si>
  <si>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</si>
  <si>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</si>
  <si>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</si>
  <si>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</si>
  <si>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</si>
  <si>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</si>
  <si>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</si>
  <si>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</si>
  <si>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</si>
  <si>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</si>
  <si>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</si>
  <si>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</si>
  <si>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</si>
  <si>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</si>
  <si>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</si>
  <si>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</si>
  <si>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</si>
  <si>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</si>
  <si>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</si>
  <si>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</si>
  <si>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</si>
  <si>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</si>
  <si>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</si>
  <si>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</si>
  <si>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</si>
  <si>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</si>
  <si>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</si>
  <si>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</si>
  <si>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</si>
  <si>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</si>
  <si>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</si>
  <si>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</si>
  <si>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</si>
  <si>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</si>
  <si>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</si>
  <si>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</si>
  <si>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</si>
  <si>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</si>
  <si>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</si>
  <si>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</si>
  <si>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</si>
  <si>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</si>
  <si>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</si>
  <si>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</si>
  <si>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</si>
  <si>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</si>
  <si>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</si>
  <si>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</si>
  <si>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</si>
  <si>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</si>
  <si>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</si>
  <si>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</si>
  <si>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</si>
  <si>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</si>
  <si>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</si>
  <si>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</si>
  <si>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</si>
  <si>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</si>
  <si>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</si>
  <si>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</si>
  <si>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</si>
  <si>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</si>
  <si>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</si>
  <si>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</si>
  <si>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</si>
  <si>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</si>
  <si>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</si>
  <si>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</si>
  <si>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</si>
  <si>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</si>
  <si>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</si>
  <si>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</si>
  <si>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</si>
  <si>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</si>
  <si>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</si>
  <si>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</si>
  <si>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</si>
  <si>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</si>
  <si>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</si>
  <si>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</si>
  <si>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</si>
  <si>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</si>
  <si>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</si>
  <si>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</si>
  <si>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</si>
  <si>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</si>
  <si>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</si>
  <si>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</si>
  <si>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</si>
  <si>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</si>
  <si>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</si>
  <si>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</si>
  <si>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</si>
  <si>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</si>
  <si>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</si>
  <si>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</si>
  <si>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</si>
  <si>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</si>
  <si>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</si>
  <si>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</si>
  <si>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</si>
  <si>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</si>
  <si>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</si>
  <si>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</si>
  <si>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</si>
  <si>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</si>
  <si>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</si>
  <si>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</si>
  <si>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</si>
  <si>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</si>
  <si>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</si>
  <si>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</si>
  <si>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</si>
  <si>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</si>
  <si>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</si>
  <si>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</si>
  <si>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</si>
  <si>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</si>
  <si>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</si>
  <si>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</si>
  <si>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</si>
  <si>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</si>
  <si>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</si>
  <si>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</si>
  <si>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</si>
  <si>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</si>
  <si>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</si>
  <si>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</si>
  <si>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</si>
  <si>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</si>
  <si>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</si>
  <si>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</si>
  <si>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</si>
  <si>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</si>
  <si>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</si>
  <si>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</si>
  <si>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</si>
  <si>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</si>
  <si>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</si>
  <si>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</si>
  <si>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</si>
  <si>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</si>
  <si>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</si>
  <si>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</si>
  <si>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</si>
  <si>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</si>
  <si>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</si>
  <si>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</si>
  <si>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</si>
  <si>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</si>
  <si>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</si>
  <si>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</si>
  <si>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</si>
  <si>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</si>
  <si>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</si>
  <si>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</si>
  <si>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</si>
  <si>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</si>
  <si>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</si>
  <si>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</si>
  <si>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</si>
  <si>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</si>
  <si>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</si>
  <si>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</si>
  <si>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</si>
  <si>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</si>
  <si>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</si>
  <si>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</si>
  <si>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</si>
  <si>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</si>
  <si>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</si>
  <si>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</si>
  <si>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</si>
  <si>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</si>
  <si>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</si>
  <si>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</si>
  <si>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</si>
  <si>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</si>
  <si>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</si>
  <si>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</si>
  <si>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</si>
  <si>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</si>
  <si>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</si>
  <si>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</si>
  <si>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</si>
  <si>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</si>
  <si>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</si>
  <si>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</si>
  <si>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</si>
  <si>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</si>
  <si>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</si>
  <si>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</si>
  <si>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</si>
  <si>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</si>
  <si>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</si>
  <si>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</si>
  <si>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</si>
  <si>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</si>
  <si>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</si>
  <si>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</si>
  <si>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</si>
  <si>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</si>
  <si>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</si>
  <si>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</si>
  <si>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</si>
  <si>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</si>
  <si>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</si>
  <si>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</si>
  <si>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</si>
  <si>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</si>
  <si>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2023 год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</si>
  <si>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</si>
  <si>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</si>
  <si>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</si>
  <si>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</si>
  <si>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</si>
  <si>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</si>
  <si>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</si>
  <si>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</si>
  <si>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</si>
  <si>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</si>
  <si>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</si>
  <si>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</si>
  <si>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</si>
  <si>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</si>
  <si>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</si>
  <si>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</si>
  <si>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</si>
  <si>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</si>
  <si>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</si>
  <si>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</si>
  <si>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</si>
  <si>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</si>
  <si>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</si>
  <si>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</si>
  <si>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</si>
  <si>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</si>
  <si>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</si>
  <si>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</si>
  <si>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</si>
  <si>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</si>
  <si>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</si>
  <si>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</si>
  <si>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</si>
  <si>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</si>
  <si>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</si>
  <si>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</si>
  <si>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</si>
  <si>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</si>
  <si>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</si>
  <si>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</si>
  <si>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</si>
  <si>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</si>
  <si>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</si>
  <si>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</si>
  <si>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</si>
  <si>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>Проведение  кадастровых работ в отношении земельных участков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</si>
  <si>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</si>
  <si>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</si>
  <si>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</si>
  <si>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</si>
  <si>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</si>
  <si>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</si>
  <si>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</si>
  <si>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</si>
  <si>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</si>
  <si>
    <t>Основное мероприятие "Благоустройство сельских территорий"</t>
  </si>
  <si>
    <t>Таблица №10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</si>
  <si>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бюджетирования)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</si>
  <si>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t>
  </si>
  <si>
    <t>Основное мероприятие "Проведение  комплексных кадастровых работ"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</si>
  <si>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комплексных кадастровых работ)</t>
  </si>
  <si>
    <t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</si>
  <si>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</si>
  <si>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t>
  </si>
  <si>
    <t>% исполнения</t>
  </si>
  <si>
    <t>Исполнено за 2023 г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</si>
  <si>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</si>
  <si>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</si>
  <si>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</si>
  <si>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</si>
  <si>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"__"__________2024 г.№________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</si>
  <si>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за 2023 год </t>
  </si>
  <si>
    <t>Распределение бюджетных ассигнований по разделам и по подразделам классификации расходов районного бюджета за 2023 год</t>
  </si>
  <si>
    <t>Распределение бюджетных ассигнований на реализацию муниципальных программ за 2023 год</t>
  </si>
  <si>
    <t xml:space="preserve">Распределение бюджетных ассигнований по разделам и подразделам, целевым статьям и видам расходов районного бюджета за 2023 год </t>
  </si>
  <si>
    <t>к решению Алексеевской районной Думы</t>
  </si>
  <si>
    <t>Таблица №13</t>
  </si>
  <si>
    <t xml:space="preserve">Отчет об исполнении ведомственных целевых программ за 2023 год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</si>
</sst>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4" applyFont="1" applyFill="1" applyAlignment="1">
      <alignment horizontal="right"/>
      <protection/>
    </xf>
    <xf numFmtId="0" fontId="9" fillId="34" borderId="0" xfId="54" applyFont="1" applyFill="1">
      <alignment/>
      <protection/>
    </xf>
    <xf numFmtId="0" fontId="45" fillId="0" borderId="0" xfId="54">
      <alignment/>
      <protection/>
    </xf>
    <xf numFmtId="0" fontId="9" fillId="34" borderId="0" xfId="54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1" xfId="0" applyNumberFormat="1" applyFont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7" fillId="34" borderId="10" xfId="54" applyFont="1" applyFill="1" applyBorder="1" applyAlignment="1">
      <alignment horizontal="center" vertical="top" wrapText="1"/>
      <protection/>
    </xf>
    <xf numFmtId="0" fontId="11" fillId="33" borderId="10" xfId="0" applyNumberFormat="1" applyFont="1" applyFill="1" applyBorder="1" applyAlignment="1">
      <alignment horizontal="center" vertical="center" wrapText="1"/>
    </xf>
    <xf numFmtId="0" fontId="4" fillId="34" borderId="10" xfId="54" applyFont="1" applyFill="1" applyBorder="1" applyAlignment="1">
      <alignment horizontal="left" vertical="top" wrapText="1"/>
      <protection/>
    </xf>
    <xf numFmtId="173" fontId="12" fillId="34" borderId="10" xfId="54" applyNumberFormat="1" applyFont="1" applyFill="1" applyBorder="1" applyAlignment="1">
      <alignment horizontal="right" vertical="center" wrapText="1"/>
      <protection/>
    </xf>
    <xf numFmtId="49" fontId="4" fillId="34" borderId="10" xfId="54" applyNumberFormat="1" applyFont="1" applyFill="1" applyBorder="1" applyAlignment="1">
      <alignment horizontal="left" vertical="top" wrapText="1"/>
      <protection/>
    </xf>
    <xf numFmtId="0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65" fillId="33" borderId="10" xfId="0" applyNumberFormat="1" applyFont="1" applyFill="1" applyBorder="1" applyAlignment="1">
      <alignment horizontal="left" vertical="top" wrapText="1"/>
    </xf>
    <xf numFmtId="0" fontId="66" fillId="33" borderId="10" xfId="0" applyNumberFormat="1" applyFont="1" applyFill="1" applyBorder="1" applyAlignment="1">
      <alignment horizontal="left" vertical="top" wrapText="1"/>
    </xf>
    <xf numFmtId="0" fontId="67" fillId="33" borderId="10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0" xfId="0" applyNumberFormat="1" applyFont="1" applyFill="1" applyBorder="1" applyAlignment="1">
      <alignment horizontal="right" wrapText="1"/>
    </xf>
    <xf numFmtId="0" fontId="11" fillId="33" borderId="10" xfId="0" applyNumberFormat="1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right" vertical="center" wrapText="1"/>
    </xf>
    <xf numFmtId="1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right" vertical="center"/>
    </xf>
    <xf numFmtId="173" fontId="11" fillId="33" borderId="10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3" fontId="14" fillId="33" borderId="10" xfId="0" applyNumberFormat="1" applyFont="1" applyFill="1" applyBorder="1" applyAlignment="1">
      <alignment horizontal="right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1" fontId="11" fillId="33" borderId="10" xfId="0" applyNumberFormat="1" applyFont="1" applyFill="1" applyBorder="1" applyAlignment="1">
      <alignment horizontal="right" wrapText="1"/>
    </xf>
    <xf numFmtId="0" fontId="11" fillId="33" borderId="10" xfId="0" applyNumberFormat="1" applyFont="1" applyFill="1" applyBorder="1" applyAlignment="1">
      <alignment horizontal="right" wrapText="1"/>
    </xf>
    <xf numFmtId="49" fontId="11" fillId="33" borderId="10" xfId="0" applyNumberFormat="1" applyFont="1" applyFill="1" applyBorder="1" applyAlignment="1">
      <alignment horizontal="right" wrapText="1"/>
    </xf>
    <xf numFmtId="179" fontId="11" fillId="33" borderId="10" xfId="0" applyNumberFormat="1" applyFont="1" applyFill="1" applyBorder="1" applyAlignment="1">
      <alignment horizontal="right" wrapText="1"/>
    </xf>
    <xf numFmtId="49" fontId="3" fillId="34" borderId="10" xfId="54" applyNumberFormat="1" applyFont="1" applyFill="1" applyBorder="1" applyAlignment="1">
      <alignment horizontal="left" vertical="top" wrapText="1"/>
      <protection/>
    </xf>
    <xf numFmtId="0" fontId="3" fillId="34" borderId="10" xfId="54" applyFont="1" applyFill="1" applyBorder="1" applyAlignment="1">
      <alignment horizontal="left" vertical="top" wrapText="1"/>
      <protection/>
    </xf>
    <xf numFmtId="173" fontId="17" fillId="34" borderId="10" xfId="54" applyNumberFormat="1" applyFont="1" applyFill="1" applyBorder="1" applyAlignment="1">
      <alignment horizontal="right" vertical="center" wrapText="1"/>
      <protection/>
    </xf>
    <xf numFmtId="49" fontId="18" fillId="34" borderId="10" xfId="54" applyNumberFormat="1" applyFont="1" applyFill="1" applyBorder="1" applyAlignment="1">
      <alignment horizontal="left" vertical="top" wrapText="1"/>
      <protection/>
    </xf>
    <xf numFmtId="0" fontId="19" fillId="34" borderId="10" xfId="54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0" xfId="0" applyNumberFormat="1" applyFont="1" applyFill="1" applyBorder="1" applyAlignment="1">
      <alignment horizontal="center" vertical="center" textRotation="90" wrapText="1"/>
    </xf>
    <xf numFmtId="0" fontId="13" fillId="0" borderId="11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center" textRotation="90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>
      <alignment horizontal="center" vertical="center" textRotation="90" wrapText="1"/>
    </xf>
    <xf numFmtId="49" fontId="6" fillId="33" borderId="11" xfId="0" applyNumberFormat="1" applyFont="1" applyFill="1" applyBorder="1" applyAlignment="1">
      <alignment horizontal="center" vertical="center" textRotation="90" wrapText="1"/>
    </xf>
    <xf numFmtId="1" fontId="6" fillId="33" borderId="11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20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top" textRotation="90" wrapText="1"/>
    </xf>
    <xf numFmtId="49" fontId="22" fillId="0" borderId="10" xfId="0" applyNumberFormat="1" applyFont="1" applyFill="1" applyBorder="1" applyAlignment="1">
      <alignment horizontal="center" vertical="top" textRotation="90" wrapText="1"/>
    </xf>
    <xf numFmtId="173" fontId="45" fillId="0" borderId="0" xfId="54" applyNumberFormat="1">
      <alignment/>
      <protection/>
    </xf>
    <xf numFmtId="173" fontId="12" fillId="33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73" fontId="17" fillId="33" borderId="10" xfId="0" applyNumberFormat="1" applyFont="1" applyFill="1" applyBorder="1" applyAlignment="1">
      <alignment horizontal="right" vertical="center" wrapText="1"/>
    </xf>
    <xf numFmtId="0" fontId="16" fillId="33" borderId="10" xfId="0" applyNumberFormat="1" applyFont="1" applyFill="1" applyBorder="1" applyAlignment="1">
      <alignment horizontal="right" vertical="center" wrapText="1"/>
    </xf>
    <xf numFmtId="1" fontId="11" fillId="33" borderId="10" xfId="0" applyNumberFormat="1" applyFont="1" applyFill="1" applyBorder="1" applyAlignment="1">
      <alignment horizontal="right" vertical="center"/>
    </xf>
    <xf numFmtId="172" fontId="11" fillId="33" borderId="10" xfId="0" applyNumberFormat="1" applyFont="1" applyFill="1" applyBorder="1" applyAlignment="1">
      <alignment horizontal="right" vertical="center" wrapText="1"/>
    </xf>
    <xf numFmtId="173" fontId="7" fillId="33" borderId="10" xfId="0" applyNumberFormat="1" applyFont="1" applyFill="1" applyBorder="1" applyAlignment="1">
      <alignment vertical="center" wrapText="1"/>
    </xf>
    <xf numFmtId="173" fontId="7" fillId="33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8" fillId="0" borderId="0" xfId="0" applyFont="1" applyFill="1" applyAlignment="1">
      <alignment horizontal="right"/>
    </xf>
    <xf numFmtId="0" fontId="12" fillId="34" borderId="12" xfId="54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4" borderId="0" xfId="54" applyFont="1" applyFill="1" applyAlignment="1">
      <alignment horizontal="center" vertical="center" wrapText="1" shrinkToFit="1"/>
      <protection/>
    </xf>
    <xf numFmtId="0" fontId="9" fillId="34" borderId="0" xfId="54" applyFont="1" applyFill="1" applyAlignment="1">
      <alignment horizontal="right"/>
      <protection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51"/>
  <sheetViews>
    <sheetView showGridLines="0" zoomScale="80" zoomScaleNormal="80" zoomScalePageLayoutView="0" workbookViewId="0" topLeftCell="A1">
      <pane ySplit="10" topLeftCell="A264" activePane="bottomLeft" state="frozen"/>
      <selection pane="topLeft" activeCell="A1" sqref="A1"/>
      <selection pane="bottomLeft" activeCell="N336" sqref="N336"/>
    </sheetView>
  </sheetViews>
  <sheetFormatPr defaultColWidth="9.140625" defaultRowHeight="12.75" outlineLevelRow="5"/>
  <cols>
    <col min="1" max="1" width="54.421875" style="7" customWidth="1"/>
    <col min="2" max="2" width="5.140625" style="12" customWidth="1"/>
    <col min="3" max="3" width="6.00390625" style="12" customWidth="1"/>
    <col min="4" max="4" width="4.57421875" style="25" customWidth="1"/>
    <col min="5" max="5" width="3.8515625" style="30" customWidth="1"/>
    <col min="6" max="6" width="6.28125" style="11" customWidth="1"/>
    <col min="7" max="8" width="14.57421875" style="2" bestFit="1" customWidth="1"/>
    <col min="9" max="9" width="13.57421875" style="2" customWidth="1"/>
    <col min="10" max="16384" width="9.140625" style="2" customWidth="1"/>
  </cols>
  <sheetData>
    <row r="1" spans="5:9" ht="18">
      <c r="E1" s="26"/>
      <c r="F1" s="22"/>
      <c r="G1" s="104" t="s">
        <v>346</v>
      </c>
      <c r="H1" s="104"/>
      <c r="I1" s="104"/>
    </row>
    <row r="2" spans="5:9" ht="18.75">
      <c r="E2" s="26"/>
      <c r="F2" s="23"/>
      <c r="G2" s="104" t="s">
        <v>347</v>
      </c>
      <c r="H2" s="104"/>
      <c r="I2" s="104"/>
    </row>
    <row r="3" spans="5:9" ht="18.75">
      <c r="E3" s="26"/>
      <c r="F3" s="23"/>
      <c r="G3" s="104" t="s">
        <v>348</v>
      </c>
      <c r="H3" s="104"/>
      <c r="I3" s="104"/>
    </row>
    <row r="4" spans="5:9" ht="18.75" customHeight="1">
      <c r="E4" s="23"/>
      <c r="F4" s="23"/>
      <c r="G4" s="104" t="s">
        <v>349</v>
      </c>
      <c r="H4" s="104"/>
      <c r="I4" s="104"/>
    </row>
    <row r="5" spans="1:9" ht="18.75">
      <c r="A5" s="8"/>
      <c r="B5" s="1"/>
      <c r="C5" s="1"/>
      <c r="D5" s="27"/>
      <c r="E5" s="107" t="s">
        <v>350</v>
      </c>
      <c r="F5" s="107"/>
      <c r="G5" s="107"/>
      <c r="H5" s="107"/>
      <c r="I5" s="107"/>
    </row>
    <row r="6" spans="1:9" ht="18.75">
      <c r="A6" s="8"/>
      <c r="B6" s="1"/>
      <c r="C6" s="1"/>
      <c r="D6" s="27"/>
      <c r="E6" s="97"/>
      <c r="F6" s="97"/>
      <c r="G6" s="97"/>
      <c r="H6" s="97"/>
      <c r="I6" s="97"/>
    </row>
    <row r="7" spans="1:9" ht="33.75" customHeight="1">
      <c r="A7" s="106" t="s">
        <v>351</v>
      </c>
      <c r="B7" s="106"/>
      <c r="C7" s="106"/>
      <c r="D7" s="106"/>
      <c r="E7" s="106"/>
      <c r="F7" s="106"/>
      <c r="G7" s="106"/>
      <c r="H7" s="106"/>
      <c r="I7" s="106"/>
    </row>
    <row r="8" spans="1:6" ht="12.75">
      <c r="A8" s="6"/>
      <c r="B8" s="3"/>
      <c r="C8" s="3"/>
      <c r="D8" s="28"/>
      <c r="E8" s="29"/>
      <c r="F8" s="9"/>
    </row>
    <row r="9" spans="1:9" ht="12.75">
      <c r="A9" s="6"/>
      <c r="B9" s="3"/>
      <c r="C9" s="3"/>
      <c r="D9" s="28"/>
      <c r="E9" s="29"/>
      <c r="F9" s="9"/>
      <c r="G9" s="105"/>
      <c r="H9" s="105"/>
      <c r="I9" s="81" t="s">
        <v>270</v>
      </c>
    </row>
    <row r="10" spans="1:9" ht="91.5" customHeight="1">
      <c r="A10" s="24" t="s">
        <v>1</v>
      </c>
      <c r="B10" s="86" t="s">
        <v>171</v>
      </c>
      <c r="C10" s="87" t="s">
        <v>172</v>
      </c>
      <c r="D10" s="94" t="s">
        <v>214</v>
      </c>
      <c r="E10" s="83" t="s">
        <v>8</v>
      </c>
      <c r="F10" s="84" t="s">
        <v>148</v>
      </c>
      <c r="G10" s="35" t="s">
        <v>279</v>
      </c>
      <c r="H10" s="35" t="s">
        <v>345</v>
      </c>
      <c r="I10" s="35" t="s">
        <v>344</v>
      </c>
    </row>
    <row r="11" spans="1:9" ht="15.75" outlineLevel="1">
      <c r="A11" s="45" t="s">
        <v>26</v>
      </c>
      <c r="B11" s="60" t="s">
        <v>27</v>
      </c>
      <c r="C11" s="60"/>
      <c r="D11" s="60"/>
      <c r="E11" s="62" t="s">
        <v>0</v>
      </c>
      <c r="F11" s="61"/>
      <c r="G11" s="102">
        <f>SUM(G12)</f>
        <v>555.00964</v>
      </c>
      <c r="H11" s="102">
        <f>SUM(H12)</f>
        <v>555.00964</v>
      </c>
      <c r="I11" s="102">
        <f aca="true" t="shared" si="0" ref="I11:I74">SUM(H11/G11)*100</f>
        <v>100</v>
      </c>
    </row>
    <row r="12" spans="1:9" ht="15.75" outlineLevel="1">
      <c r="A12" s="45" t="s">
        <v>96</v>
      </c>
      <c r="B12" s="60" t="s">
        <v>27</v>
      </c>
      <c r="C12" s="60" t="s">
        <v>41</v>
      </c>
      <c r="D12" s="60"/>
      <c r="E12" s="62"/>
      <c r="F12" s="61"/>
      <c r="G12" s="102">
        <f>SUM(G13)</f>
        <v>555.00964</v>
      </c>
      <c r="H12" s="102">
        <f>SUM(H13)</f>
        <v>555.00964</v>
      </c>
      <c r="I12" s="102">
        <f t="shared" si="0"/>
        <v>100</v>
      </c>
    </row>
    <row r="13" spans="1:9" ht="38.25" customHeight="1" outlineLevel="2">
      <c r="A13" s="45" t="s">
        <v>25</v>
      </c>
      <c r="B13" s="60" t="s">
        <v>27</v>
      </c>
      <c r="C13" s="60" t="s">
        <v>28</v>
      </c>
      <c r="D13" s="60"/>
      <c r="E13" s="62"/>
      <c r="F13" s="61"/>
      <c r="G13" s="102">
        <f>SUM(G14+G17)</f>
        <v>555.00964</v>
      </c>
      <c r="H13" s="102">
        <f>SUM(H14+H17)</f>
        <v>555.00964</v>
      </c>
      <c r="I13" s="102">
        <f t="shared" si="0"/>
        <v>100</v>
      </c>
    </row>
    <row r="14" spans="1:9" ht="23.25" customHeight="1" outlineLevel="2">
      <c r="A14" s="45" t="s">
        <v>99</v>
      </c>
      <c r="B14" s="60" t="s">
        <v>27</v>
      </c>
      <c r="C14" s="60" t="s">
        <v>28</v>
      </c>
      <c r="D14" s="60" t="s">
        <v>11</v>
      </c>
      <c r="E14" s="62" t="s">
        <v>9</v>
      </c>
      <c r="F14" s="61"/>
      <c r="G14" s="102">
        <f>SUM(G15:G16)</f>
        <v>555.0095</v>
      </c>
      <c r="H14" s="102">
        <f>SUM(H15:H16)</f>
        <v>555.0095</v>
      </c>
      <c r="I14" s="102">
        <f t="shared" si="0"/>
        <v>100</v>
      </c>
    </row>
    <row r="15" spans="1:9" ht="51" customHeight="1" outlineLevel="2">
      <c r="A15" s="45" t="s">
        <v>97</v>
      </c>
      <c r="B15" s="60" t="s">
        <v>27</v>
      </c>
      <c r="C15" s="60" t="s">
        <v>28</v>
      </c>
      <c r="D15" s="60" t="s">
        <v>11</v>
      </c>
      <c r="E15" s="62" t="s">
        <v>9</v>
      </c>
      <c r="F15" s="61">
        <v>100</v>
      </c>
      <c r="G15" s="102">
        <f>472.2+9.5-0.00014+2.48538</f>
        <v>484.18524</v>
      </c>
      <c r="H15" s="102">
        <f>472.2+9.5-0.00014+2.48538</f>
        <v>484.18524</v>
      </c>
      <c r="I15" s="102">
        <f t="shared" si="0"/>
        <v>100</v>
      </c>
    </row>
    <row r="16" spans="1:9" s="4" customFormat="1" ht="24" outlineLevel="3">
      <c r="A16" s="45" t="s">
        <v>98</v>
      </c>
      <c r="B16" s="60" t="s">
        <v>27</v>
      </c>
      <c r="C16" s="60" t="s">
        <v>28</v>
      </c>
      <c r="D16" s="60" t="s">
        <v>11</v>
      </c>
      <c r="E16" s="62">
        <v>0</v>
      </c>
      <c r="F16" s="61">
        <v>200</v>
      </c>
      <c r="G16" s="102">
        <f>61.3+9.52426</f>
        <v>70.82426</v>
      </c>
      <c r="H16" s="102">
        <f>61.3+9.52426</f>
        <v>70.82426</v>
      </c>
      <c r="I16" s="102">
        <f t="shared" si="0"/>
        <v>100</v>
      </c>
    </row>
    <row r="17" spans="1:9" s="4" customFormat="1" ht="24" outlineLevel="3">
      <c r="A17" s="45" t="s">
        <v>149</v>
      </c>
      <c r="B17" s="60" t="s">
        <v>27</v>
      </c>
      <c r="C17" s="60" t="s">
        <v>28</v>
      </c>
      <c r="D17" s="60" t="s">
        <v>16</v>
      </c>
      <c r="E17" s="62">
        <v>0</v>
      </c>
      <c r="F17" s="61"/>
      <c r="G17" s="102">
        <f>SUM(G18)</f>
        <v>0.00014</v>
      </c>
      <c r="H17" s="102">
        <f>SUM(H18)</f>
        <v>0.00014</v>
      </c>
      <c r="I17" s="102">
        <f t="shared" si="0"/>
        <v>100</v>
      </c>
    </row>
    <row r="18" spans="1:9" s="4" customFormat="1" ht="15.75" outlineLevel="3">
      <c r="A18" s="45" t="s">
        <v>138</v>
      </c>
      <c r="B18" s="60" t="s">
        <v>27</v>
      </c>
      <c r="C18" s="60" t="s">
        <v>28</v>
      </c>
      <c r="D18" s="60" t="s">
        <v>16</v>
      </c>
      <c r="E18" s="62">
        <v>0</v>
      </c>
      <c r="F18" s="61">
        <v>800</v>
      </c>
      <c r="G18" s="102">
        <f>0.00014</f>
        <v>0.00014</v>
      </c>
      <c r="H18" s="102">
        <f>0.00014</f>
        <v>0.00014</v>
      </c>
      <c r="I18" s="102">
        <f t="shared" si="0"/>
        <v>100</v>
      </c>
    </row>
    <row r="19" spans="1:9" s="4" customFormat="1" ht="19.5" customHeight="1" outlineLevel="3">
      <c r="A19" s="45" t="s">
        <v>273</v>
      </c>
      <c r="B19" s="60" t="s">
        <v>30</v>
      </c>
      <c r="C19" s="60"/>
      <c r="D19" s="60"/>
      <c r="E19" s="62"/>
      <c r="F19" s="61"/>
      <c r="G19" s="102">
        <f>SUM(G20)</f>
        <v>1735.74588</v>
      </c>
      <c r="H19" s="102">
        <f>SUM(H20)</f>
        <v>1735.74588</v>
      </c>
      <c r="I19" s="102">
        <f t="shared" si="0"/>
        <v>100</v>
      </c>
    </row>
    <row r="20" spans="1:9" s="4" customFormat="1" ht="15.75" outlineLevel="3">
      <c r="A20" s="45" t="s">
        <v>96</v>
      </c>
      <c r="B20" s="60" t="s">
        <v>30</v>
      </c>
      <c r="C20" s="60" t="s">
        <v>41</v>
      </c>
      <c r="D20" s="72"/>
      <c r="E20" s="70"/>
      <c r="F20" s="71"/>
      <c r="G20" s="102">
        <f>SUM(G21)</f>
        <v>1735.74588</v>
      </c>
      <c r="H20" s="102">
        <f>SUM(H21)</f>
        <v>1735.74588</v>
      </c>
      <c r="I20" s="102">
        <f t="shared" si="0"/>
        <v>100</v>
      </c>
    </row>
    <row r="21" spans="1:9" s="4" customFormat="1" ht="29.25" customHeight="1" outlineLevel="3">
      <c r="A21" s="45" t="s">
        <v>32</v>
      </c>
      <c r="B21" s="60" t="s">
        <v>30</v>
      </c>
      <c r="C21" s="60" t="s">
        <v>31</v>
      </c>
      <c r="D21" s="60"/>
      <c r="E21" s="62"/>
      <c r="F21" s="61"/>
      <c r="G21" s="102">
        <f>SUM(G22+G25)</f>
        <v>1735.74588</v>
      </c>
      <c r="H21" s="102">
        <f>SUM(H22+H25)</f>
        <v>1735.74588</v>
      </c>
      <c r="I21" s="102">
        <f t="shared" si="0"/>
        <v>100</v>
      </c>
    </row>
    <row r="22" spans="1:9" s="4" customFormat="1" ht="29.25" customHeight="1" outlineLevel="3">
      <c r="A22" s="45" t="s">
        <v>99</v>
      </c>
      <c r="B22" s="60" t="s">
        <v>30</v>
      </c>
      <c r="C22" s="60" t="s">
        <v>31</v>
      </c>
      <c r="D22" s="60" t="s">
        <v>11</v>
      </c>
      <c r="E22" s="62" t="s">
        <v>9</v>
      </c>
      <c r="F22" s="61"/>
      <c r="G22" s="102">
        <f>SUM(G23:G24)</f>
        <v>1730.72207</v>
      </c>
      <c r="H22" s="102">
        <f>SUM(H23:H24)</f>
        <v>1730.72207</v>
      </c>
      <c r="I22" s="102">
        <f t="shared" si="0"/>
        <v>100</v>
      </c>
    </row>
    <row r="23" spans="1:9" s="4" customFormat="1" ht="45" customHeight="1" outlineLevel="3">
      <c r="A23" s="45" t="s">
        <v>97</v>
      </c>
      <c r="B23" s="60" t="s">
        <v>30</v>
      </c>
      <c r="C23" s="60" t="s">
        <v>31</v>
      </c>
      <c r="D23" s="60" t="s">
        <v>11</v>
      </c>
      <c r="E23" s="62" t="s">
        <v>9</v>
      </c>
      <c r="F23" s="61">
        <v>100</v>
      </c>
      <c r="G23" s="102">
        <f>1627.5+60.8-0.02381+42.44588</f>
        <v>1730.72207</v>
      </c>
      <c r="H23" s="102">
        <f>1627.5+60.8-0.02381+42.44588</f>
        <v>1730.72207</v>
      </c>
      <c r="I23" s="102">
        <f t="shared" si="0"/>
        <v>100</v>
      </c>
    </row>
    <row r="24" spans="1:9" s="4" customFormat="1" ht="24" outlineLevel="3">
      <c r="A24" s="45" t="s">
        <v>98</v>
      </c>
      <c r="B24" s="60" t="s">
        <v>30</v>
      </c>
      <c r="C24" s="60" t="s">
        <v>31</v>
      </c>
      <c r="D24" s="60" t="s">
        <v>11</v>
      </c>
      <c r="E24" s="62">
        <v>0</v>
      </c>
      <c r="F24" s="61">
        <v>200</v>
      </c>
      <c r="G24" s="102">
        <f>24.7+24.7-29.4-20</f>
        <v>0</v>
      </c>
      <c r="H24" s="102">
        <v>0</v>
      </c>
      <c r="I24" s="102">
        <v>0</v>
      </c>
    </row>
    <row r="25" spans="1:9" s="4" customFormat="1" ht="24.75" customHeight="1" outlineLevel="3">
      <c r="A25" s="45" t="s">
        <v>149</v>
      </c>
      <c r="B25" s="60" t="s">
        <v>30</v>
      </c>
      <c r="C25" s="60" t="s">
        <v>31</v>
      </c>
      <c r="D25" s="60" t="s">
        <v>16</v>
      </c>
      <c r="E25" s="62">
        <v>0</v>
      </c>
      <c r="F25" s="61"/>
      <c r="G25" s="102">
        <f>SUM(G26)</f>
        <v>5.02381</v>
      </c>
      <c r="H25" s="102">
        <f>SUM(H26)</f>
        <v>5.02381</v>
      </c>
      <c r="I25" s="102">
        <f t="shared" si="0"/>
        <v>100</v>
      </c>
    </row>
    <row r="26" spans="1:9" s="4" customFormat="1" ht="15.75" outlineLevel="3">
      <c r="A26" s="45" t="s">
        <v>138</v>
      </c>
      <c r="B26" s="60" t="s">
        <v>30</v>
      </c>
      <c r="C26" s="60" t="s">
        <v>31</v>
      </c>
      <c r="D26" s="60" t="s">
        <v>16</v>
      </c>
      <c r="E26" s="62">
        <v>0</v>
      </c>
      <c r="F26" s="61">
        <v>800</v>
      </c>
      <c r="G26" s="102">
        <f>5+0.02381</f>
        <v>5.02381</v>
      </c>
      <c r="H26" s="102">
        <f>5+0.02381</f>
        <v>5.02381</v>
      </c>
      <c r="I26" s="102">
        <f t="shared" si="0"/>
        <v>100</v>
      </c>
    </row>
    <row r="27" spans="1:9" s="4" customFormat="1" ht="17.25" customHeight="1" outlineLevel="3">
      <c r="A27" s="45" t="s">
        <v>228</v>
      </c>
      <c r="B27" s="60" t="s">
        <v>39</v>
      </c>
      <c r="C27" s="60"/>
      <c r="D27" s="60"/>
      <c r="E27" s="62"/>
      <c r="F27" s="61"/>
      <c r="G27" s="102">
        <f>SUM(G28+G102+G107+G114+G138+G158+G162+G263+G292+G326+G338+G343+G347+G287)</f>
        <v>528038.26578</v>
      </c>
      <c r="H27" s="102">
        <f>SUM(H28+H102+H107+H114+H138+H158+H162+H263+H292+H326+H338+H343+H347+H287)</f>
        <v>485116.17894</v>
      </c>
      <c r="I27" s="102">
        <f t="shared" si="0"/>
        <v>91.8714059905115</v>
      </c>
    </row>
    <row r="28" spans="1:9" s="4" customFormat="1" ht="15.75" outlineLevel="3">
      <c r="A28" s="45" t="s">
        <v>96</v>
      </c>
      <c r="B28" s="60" t="s">
        <v>39</v>
      </c>
      <c r="C28" s="60" t="s">
        <v>41</v>
      </c>
      <c r="D28" s="60"/>
      <c r="E28" s="62"/>
      <c r="F28" s="61"/>
      <c r="G28" s="102">
        <f>SUM(G29+G32+G56+G60+G63+G52)</f>
        <v>94781.61121999999</v>
      </c>
      <c r="H28" s="102">
        <f>SUM(H29+H32+H56+H60+H63+H52)</f>
        <v>93689.40031999999</v>
      </c>
      <c r="I28" s="102">
        <f t="shared" si="0"/>
        <v>98.84765527200751</v>
      </c>
    </row>
    <row r="29" spans="1:9" s="4" customFormat="1" ht="24" outlineLevel="3">
      <c r="A29" s="45" t="s">
        <v>33</v>
      </c>
      <c r="B29" s="60" t="s">
        <v>39</v>
      </c>
      <c r="C29" s="60" t="s">
        <v>42</v>
      </c>
      <c r="D29" s="60"/>
      <c r="E29" s="62"/>
      <c r="F29" s="61"/>
      <c r="G29" s="102">
        <f>SUM(G31)</f>
        <v>2158.93384</v>
      </c>
      <c r="H29" s="102">
        <f>SUM(H31)</f>
        <v>2158.93384</v>
      </c>
      <c r="I29" s="102">
        <f t="shared" si="0"/>
        <v>100</v>
      </c>
    </row>
    <row r="30" spans="1:9" s="4" customFormat="1" ht="27.75" customHeight="1" outlineLevel="3">
      <c r="A30" s="45" t="s">
        <v>99</v>
      </c>
      <c r="B30" s="60" t="s">
        <v>39</v>
      </c>
      <c r="C30" s="60" t="s">
        <v>42</v>
      </c>
      <c r="D30" s="60" t="s">
        <v>11</v>
      </c>
      <c r="E30" s="62" t="s">
        <v>9</v>
      </c>
      <c r="F30" s="61"/>
      <c r="G30" s="102">
        <f>SUM(G31)</f>
        <v>2158.93384</v>
      </c>
      <c r="H30" s="102">
        <f>SUM(H31)</f>
        <v>2158.93384</v>
      </c>
      <c r="I30" s="102">
        <f t="shared" si="0"/>
        <v>100</v>
      </c>
    </row>
    <row r="31" spans="1:9" ht="48.75" customHeight="1" outlineLevel="1">
      <c r="A31" s="45" t="s">
        <v>97</v>
      </c>
      <c r="B31" s="60" t="s">
        <v>39</v>
      </c>
      <c r="C31" s="60" t="s">
        <v>42</v>
      </c>
      <c r="D31" s="60" t="s">
        <v>11</v>
      </c>
      <c r="E31" s="62">
        <v>0</v>
      </c>
      <c r="F31" s="61">
        <v>100</v>
      </c>
      <c r="G31" s="102">
        <f>2080+43+6.94572+28.98812</f>
        <v>2158.93384</v>
      </c>
      <c r="H31" s="102">
        <v>2158.93384</v>
      </c>
      <c r="I31" s="102">
        <f t="shared" si="0"/>
        <v>100</v>
      </c>
    </row>
    <row r="32" spans="1:9" ht="36.75" customHeight="1" outlineLevel="2">
      <c r="A32" s="46" t="s">
        <v>34</v>
      </c>
      <c r="B32" s="60" t="s">
        <v>39</v>
      </c>
      <c r="C32" s="60" t="s">
        <v>40</v>
      </c>
      <c r="D32" s="60"/>
      <c r="E32" s="62"/>
      <c r="F32" s="61"/>
      <c r="G32" s="102">
        <f>SUM(G33+G50)</f>
        <v>36191.26099999999</v>
      </c>
      <c r="H32" s="102">
        <f>SUM(H33+H50)</f>
        <v>36070.978729999995</v>
      </c>
      <c r="I32" s="102">
        <f t="shared" si="0"/>
        <v>99.6676483032741</v>
      </c>
    </row>
    <row r="33" spans="1:9" s="4" customFormat="1" ht="27" customHeight="1" outlineLevel="3">
      <c r="A33" s="45" t="s">
        <v>99</v>
      </c>
      <c r="B33" s="60" t="s">
        <v>39</v>
      </c>
      <c r="C33" s="60" t="s">
        <v>40</v>
      </c>
      <c r="D33" s="60" t="s">
        <v>11</v>
      </c>
      <c r="E33" s="62">
        <v>0</v>
      </c>
      <c r="F33" s="61"/>
      <c r="G33" s="102">
        <f>SUM(G34+G37)</f>
        <v>36162.969999999994</v>
      </c>
      <c r="H33" s="102">
        <f>SUM(H34+H37)</f>
        <v>36042.68773</v>
      </c>
      <c r="I33" s="102">
        <f t="shared" si="0"/>
        <v>99.66738829802973</v>
      </c>
    </row>
    <row r="34" spans="1:9" ht="15.75" outlineLevel="1">
      <c r="A34" s="46" t="s">
        <v>3</v>
      </c>
      <c r="B34" s="60" t="s">
        <v>39</v>
      </c>
      <c r="C34" s="60" t="s">
        <v>40</v>
      </c>
      <c r="D34" s="60" t="s">
        <v>11</v>
      </c>
      <c r="E34" s="62">
        <v>0</v>
      </c>
      <c r="F34" s="61"/>
      <c r="G34" s="102">
        <f>SUM(G35:G36)</f>
        <v>34213.049999999996</v>
      </c>
      <c r="H34" s="102">
        <f>SUM(H35:H36)</f>
        <v>34092.76773</v>
      </c>
      <c r="I34" s="102">
        <f t="shared" si="0"/>
        <v>99.6484316072376</v>
      </c>
    </row>
    <row r="35" spans="1:9" ht="49.5" customHeight="1" outlineLevel="2">
      <c r="A35" s="46" t="s">
        <v>97</v>
      </c>
      <c r="B35" s="60" t="s">
        <v>39</v>
      </c>
      <c r="C35" s="60" t="s">
        <v>40</v>
      </c>
      <c r="D35" s="60" t="s">
        <v>11</v>
      </c>
      <c r="E35" s="62">
        <v>0</v>
      </c>
      <c r="F35" s="61">
        <v>100</v>
      </c>
      <c r="G35" s="102">
        <f>29836.85+2571.95+242.35428+39.16276+7.22841-133.57886-0.0006</f>
        <v>32563.965989999997</v>
      </c>
      <c r="H35" s="102">
        <v>32563.96599</v>
      </c>
      <c r="I35" s="102">
        <f t="shared" si="0"/>
        <v>100.00000000000003</v>
      </c>
    </row>
    <row r="36" spans="1:9" ht="24">
      <c r="A36" s="46" t="s">
        <v>98</v>
      </c>
      <c r="B36" s="60" t="s">
        <v>39</v>
      </c>
      <c r="C36" s="60" t="s">
        <v>40</v>
      </c>
      <c r="D36" s="60" t="s">
        <v>11</v>
      </c>
      <c r="E36" s="62">
        <v>0</v>
      </c>
      <c r="F36" s="61">
        <v>200</v>
      </c>
      <c r="G36" s="102">
        <f>1800-9.52426-141.39173</f>
        <v>1649.08401</v>
      </c>
      <c r="H36" s="102">
        <v>1528.80174</v>
      </c>
      <c r="I36" s="102">
        <f t="shared" si="0"/>
        <v>92.70611628815685</v>
      </c>
    </row>
    <row r="37" spans="1:9" ht="23.25" customHeight="1" outlineLevel="2">
      <c r="A37" s="45" t="s">
        <v>99</v>
      </c>
      <c r="B37" s="60" t="s">
        <v>39</v>
      </c>
      <c r="C37" s="60" t="s">
        <v>40</v>
      </c>
      <c r="D37" s="60" t="s">
        <v>11</v>
      </c>
      <c r="E37" s="62" t="s">
        <v>9</v>
      </c>
      <c r="F37" s="61"/>
      <c r="G37" s="103">
        <f>SUM(G38+G41+G44+G47)</f>
        <v>1949.9199999999998</v>
      </c>
      <c r="H37" s="103">
        <f>SUM(H38+H41+H44+H47)</f>
        <v>1949.92</v>
      </c>
      <c r="I37" s="102">
        <f t="shared" si="0"/>
        <v>100.00000000000003</v>
      </c>
    </row>
    <row r="38" spans="1:9" ht="31.5" customHeight="1" outlineLevel="1">
      <c r="A38" s="45" t="s">
        <v>100</v>
      </c>
      <c r="B38" s="60" t="s">
        <v>39</v>
      </c>
      <c r="C38" s="60" t="s">
        <v>40</v>
      </c>
      <c r="D38" s="60" t="s">
        <v>11</v>
      </c>
      <c r="E38" s="62" t="s">
        <v>9</v>
      </c>
      <c r="F38" s="61"/>
      <c r="G38" s="102">
        <f>SUM(G39:G40)</f>
        <v>335.41999999999996</v>
      </c>
      <c r="H38" s="102">
        <f>SUM(H39:H40)</f>
        <v>335.42</v>
      </c>
      <c r="I38" s="102">
        <f t="shared" si="0"/>
        <v>100.00000000000003</v>
      </c>
    </row>
    <row r="39" spans="1:9" ht="47.25" customHeight="1" outlineLevel="5">
      <c r="A39" s="45" t="s">
        <v>97</v>
      </c>
      <c r="B39" s="60" t="s">
        <v>39</v>
      </c>
      <c r="C39" s="60" t="s">
        <v>40</v>
      </c>
      <c r="D39" s="60" t="s">
        <v>11</v>
      </c>
      <c r="E39" s="62" t="s">
        <v>9</v>
      </c>
      <c r="F39" s="61">
        <v>100</v>
      </c>
      <c r="G39" s="103">
        <f>332.4+3.02</f>
        <v>335.41999999999996</v>
      </c>
      <c r="H39" s="103">
        <v>335.42</v>
      </c>
      <c r="I39" s="102">
        <f t="shared" si="0"/>
        <v>100.00000000000003</v>
      </c>
    </row>
    <row r="40" spans="1:9" ht="24" hidden="1" outlineLevel="5">
      <c r="A40" s="45" t="s">
        <v>98</v>
      </c>
      <c r="B40" s="60" t="s">
        <v>39</v>
      </c>
      <c r="C40" s="60" t="s">
        <v>40</v>
      </c>
      <c r="D40" s="60" t="s">
        <v>11</v>
      </c>
      <c r="E40" s="62" t="s">
        <v>9</v>
      </c>
      <c r="F40" s="61">
        <v>200</v>
      </c>
      <c r="G40" s="103">
        <v>0</v>
      </c>
      <c r="H40" s="103">
        <v>0</v>
      </c>
      <c r="I40" s="102" t="e">
        <f t="shared" si="0"/>
        <v>#DIV/0!</v>
      </c>
    </row>
    <row r="41" spans="1:9" ht="27" customHeight="1" outlineLevel="5">
      <c r="A41" s="45" t="s">
        <v>101</v>
      </c>
      <c r="B41" s="60" t="s">
        <v>39</v>
      </c>
      <c r="C41" s="60" t="s">
        <v>40</v>
      </c>
      <c r="D41" s="60" t="s">
        <v>11</v>
      </c>
      <c r="E41" s="62" t="s">
        <v>9</v>
      </c>
      <c r="F41" s="61"/>
      <c r="G41" s="102">
        <f>SUM(G42:G43)</f>
        <v>796.6999999999999</v>
      </c>
      <c r="H41" s="102">
        <f>SUM(H42:H43)</f>
        <v>796.7</v>
      </c>
      <c r="I41" s="102">
        <f t="shared" si="0"/>
        <v>100.00000000000003</v>
      </c>
    </row>
    <row r="42" spans="1:9" ht="47.25" customHeight="1" outlineLevel="2">
      <c r="A42" s="45" t="s">
        <v>97</v>
      </c>
      <c r="B42" s="60" t="s">
        <v>39</v>
      </c>
      <c r="C42" s="60" t="s">
        <v>40</v>
      </c>
      <c r="D42" s="60" t="s">
        <v>11</v>
      </c>
      <c r="E42" s="62" t="s">
        <v>9</v>
      </c>
      <c r="F42" s="61">
        <v>100</v>
      </c>
      <c r="G42" s="102">
        <f>746.4-10+3+39.3+8</f>
        <v>786.6999999999999</v>
      </c>
      <c r="H42" s="102">
        <v>786.7</v>
      </c>
      <c r="I42" s="102">
        <f t="shared" si="0"/>
        <v>100.00000000000003</v>
      </c>
    </row>
    <row r="43" spans="1:9" ht="24" outlineLevel="4">
      <c r="A43" s="45" t="s">
        <v>98</v>
      </c>
      <c r="B43" s="60" t="s">
        <v>39</v>
      </c>
      <c r="C43" s="60" t="s">
        <v>40</v>
      </c>
      <c r="D43" s="60" t="s">
        <v>11</v>
      </c>
      <c r="E43" s="62" t="s">
        <v>9</v>
      </c>
      <c r="F43" s="61">
        <v>200</v>
      </c>
      <c r="G43" s="102">
        <f>10</f>
        <v>10</v>
      </c>
      <c r="H43" s="102">
        <v>10</v>
      </c>
      <c r="I43" s="102">
        <f t="shared" si="0"/>
        <v>100</v>
      </c>
    </row>
    <row r="44" spans="1:9" s="16" customFormat="1" ht="33.75" customHeight="1" outlineLevel="5">
      <c r="A44" s="45" t="s">
        <v>217</v>
      </c>
      <c r="B44" s="60" t="s">
        <v>39</v>
      </c>
      <c r="C44" s="60" t="s">
        <v>40</v>
      </c>
      <c r="D44" s="60" t="s">
        <v>11</v>
      </c>
      <c r="E44" s="62" t="s">
        <v>9</v>
      </c>
      <c r="F44" s="61"/>
      <c r="G44" s="102">
        <f>SUM(G45:G46)</f>
        <v>354.5</v>
      </c>
      <c r="H44" s="102">
        <f>SUM(H45:H46)</f>
        <v>354.5</v>
      </c>
      <c r="I44" s="102">
        <f t="shared" si="0"/>
        <v>100</v>
      </c>
    </row>
    <row r="45" spans="1:9" ht="45" customHeight="1" outlineLevel="5">
      <c r="A45" s="45" t="s">
        <v>97</v>
      </c>
      <c r="B45" s="60" t="s">
        <v>39</v>
      </c>
      <c r="C45" s="60" t="s">
        <v>40</v>
      </c>
      <c r="D45" s="60" t="s">
        <v>11</v>
      </c>
      <c r="E45" s="62" t="s">
        <v>9</v>
      </c>
      <c r="F45" s="61">
        <v>100</v>
      </c>
      <c r="G45" s="103">
        <f>351.3+3.2</f>
        <v>354.5</v>
      </c>
      <c r="H45" s="103">
        <v>354.5</v>
      </c>
      <c r="I45" s="102">
        <f t="shared" si="0"/>
        <v>100</v>
      </c>
    </row>
    <row r="46" spans="1:9" ht="24" hidden="1" outlineLevel="4">
      <c r="A46" s="45" t="s">
        <v>98</v>
      </c>
      <c r="B46" s="60" t="s">
        <v>39</v>
      </c>
      <c r="C46" s="60" t="s">
        <v>40</v>
      </c>
      <c r="D46" s="60" t="s">
        <v>11</v>
      </c>
      <c r="E46" s="62" t="s">
        <v>9</v>
      </c>
      <c r="F46" s="61">
        <v>200</v>
      </c>
      <c r="G46" s="103">
        <v>0</v>
      </c>
      <c r="H46" s="103">
        <v>0</v>
      </c>
      <c r="I46" s="102" t="e">
        <f t="shared" si="0"/>
        <v>#DIV/0!</v>
      </c>
    </row>
    <row r="47" spans="1:9" ht="39" customHeight="1" outlineLevel="5">
      <c r="A47" s="45" t="s">
        <v>341</v>
      </c>
      <c r="B47" s="60" t="s">
        <v>39</v>
      </c>
      <c r="C47" s="60" t="s">
        <v>40</v>
      </c>
      <c r="D47" s="60" t="s">
        <v>11</v>
      </c>
      <c r="E47" s="62" t="s">
        <v>9</v>
      </c>
      <c r="F47" s="61"/>
      <c r="G47" s="102">
        <f>SUM(G48:G49)</f>
        <v>463.3</v>
      </c>
      <c r="H47" s="102">
        <f>SUM(H48:H49)</f>
        <v>463.29999999999995</v>
      </c>
      <c r="I47" s="102">
        <f t="shared" si="0"/>
        <v>99.99999999999999</v>
      </c>
    </row>
    <row r="48" spans="1:9" ht="48" outlineLevel="5">
      <c r="A48" s="45" t="s">
        <v>97</v>
      </c>
      <c r="B48" s="60" t="s">
        <v>39</v>
      </c>
      <c r="C48" s="60" t="s">
        <v>40</v>
      </c>
      <c r="D48" s="60" t="s">
        <v>11</v>
      </c>
      <c r="E48" s="62" t="s">
        <v>9</v>
      </c>
      <c r="F48" s="61">
        <v>100</v>
      </c>
      <c r="G48" s="102">
        <f>75+4.25274+13.20879+0.24001</f>
        <v>92.70154000000001</v>
      </c>
      <c r="H48" s="102">
        <v>92.70154</v>
      </c>
      <c r="I48" s="102">
        <f t="shared" si="0"/>
        <v>99.99999999999999</v>
      </c>
    </row>
    <row r="49" spans="1:9" ht="24" outlineLevel="5">
      <c r="A49" s="45" t="s">
        <v>98</v>
      </c>
      <c r="B49" s="60" t="s">
        <v>39</v>
      </c>
      <c r="C49" s="60" t="s">
        <v>40</v>
      </c>
      <c r="D49" s="60" t="s">
        <v>11</v>
      </c>
      <c r="E49" s="62" t="s">
        <v>9</v>
      </c>
      <c r="F49" s="61">
        <v>200</v>
      </c>
      <c r="G49" s="102">
        <f>464-G48-0.7</f>
        <v>370.59846</v>
      </c>
      <c r="H49" s="102">
        <v>370.59846</v>
      </c>
      <c r="I49" s="102">
        <f t="shared" si="0"/>
        <v>100</v>
      </c>
    </row>
    <row r="50" spans="1:9" ht="36" outlineLevel="2">
      <c r="A50" s="45" t="s">
        <v>237</v>
      </c>
      <c r="B50" s="60" t="s">
        <v>39</v>
      </c>
      <c r="C50" s="60" t="s">
        <v>40</v>
      </c>
      <c r="D50" s="60" t="s">
        <v>2</v>
      </c>
      <c r="E50" s="62">
        <v>0</v>
      </c>
      <c r="F50" s="61"/>
      <c r="G50" s="102">
        <f>SUM(G51)</f>
        <v>28.291</v>
      </c>
      <c r="H50" s="102">
        <f>SUM(H51)</f>
        <v>28.291</v>
      </c>
      <c r="I50" s="102">
        <f t="shared" si="0"/>
        <v>100</v>
      </c>
    </row>
    <row r="51" spans="1:9" ht="21.75" customHeight="1" outlineLevel="2">
      <c r="A51" s="45" t="s">
        <v>98</v>
      </c>
      <c r="B51" s="60" t="s">
        <v>39</v>
      </c>
      <c r="C51" s="60" t="s">
        <v>40</v>
      </c>
      <c r="D51" s="60" t="s">
        <v>2</v>
      </c>
      <c r="E51" s="62">
        <v>0</v>
      </c>
      <c r="F51" s="61">
        <v>200</v>
      </c>
      <c r="G51" s="102">
        <f>50-21.709</f>
        <v>28.291</v>
      </c>
      <c r="H51" s="102">
        <v>28.291</v>
      </c>
      <c r="I51" s="102">
        <f t="shared" si="0"/>
        <v>100</v>
      </c>
    </row>
    <row r="52" spans="1:9" ht="15.75" hidden="1" outlineLevel="2">
      <c r="A52" s="45" t="s">
        <v>35</v>
      </c>
      <c r="B52" s="60" t="s">
        <v>39</v>
      </c>
      <c r="C52" s="60" t="s">
        <v>43</v>
      </c>
      <c r="D52" s="60"/>
      <c r="E52" s="62"/>
      <c r="F52" s="61"/>
      <c r="G52" s="102">
        <f aca="true" t="shared" si="1" ref="G52:H54">SUM(G53)</f>
        <v>0</v>
      </c>
      <c r="H52" s="102">
        <f t="shared" si="1"/>
        <v>0</v>
      </c>
      <c r="I52" s="102">
        <v>0</v>
      </c>
    </row>
    <row r="53" spans="1:9" ht="24" hidden="1" outlineLevel="2">
      <c r="A53" s="45" t="s">
        <v>192</v>
      </c>
      <c r="B53" s="60" t="s">
        <v>39</v>
      </c>
      <c r="C53" s="60" t="s">
        <v>43</v>
      </c>
      <c r="D53" s="60" t="s">
        <v>16</v>
      </c>
      <c r="E53" s="62">
        <v>0</v>
      </c>
      <c r="F53" s="61"/>
      <c r="G53" s="102">
        <f t="shared" si="1"/>
        <v>0</v>
      </c>
      <c r="H53" s="102">
        <f t="shared" si="1"/>
        <v>0</v>
      </c>
      <c r="I53" s="102">
        <v>0</v>
      </c>
    </row>
    <row r="54" spans="1:9" ht="24" hidden="1" outlineLevel="2">
      <c r="A54" s="45" t="s">
        <v>149</v>
      </c>
      <c r="B54" s="60" t="s">
        <v>39</v>
      </c>
      <c r="C54" s="60" t="s">
        <v>43</v>
      </c>
      <c r="D54" s="60" t="s">
        <v>16</v>
      </c>
      <c r="E54" s="62">
        <v>0</v>
      </c>
      <c r="F54" s="61"/>
      <c r="G54" s="102">
        <f t="shared" si="1"/>
        <v>0</v>
      </c>
      <c r="H54" s="102">
        <f t="shared" si="1"/>
        <v>0</v>
      </c>
      <c r="I54" s="102">
        <v>0</v>
      </c>
    </row>
    <row r="55" spans="1:9" ht="19.5" customHeight="1" hidden="1" outlineLevel="2">
      <c r="A55" s="45" t="s">
        <v>98</v>
      </c>
      <c r="B55" s="60" t="s">
        <v>39</v>
      </c>
      <c r="C55" s="60" t="s">
        <v>43</v>
      </c>
      <c r="D55" s="60" t="s">
        <v>16</v>
      </c>
      <c r="E55" s="62">
        <v>0</v>
      </c>
      <c r="F55" s="61">
        <v>200</v>
      </c>
      <c r="G55" s="102">
        <v>0</v>
      </c>
      <c r="H55" s="102">
        <v>0</v>
      </c>
      <c r="I55" s="102">
        <v>0</v>
      </c>
    </row>
    <row r="56" spans="1:9" ht="0.75" customHeight="1" hidden="1" outlineLevel="2" collapsed="1">
      <c r="A56" s="45" t="s">
        <v>36</v>
      </c>
      <c r="B56" s="60" t="s">
        <v>39</v>
      </c>
      <c r="C56" s="60" t="s">
        <v>44</v>
      </c>
      <c r="D56" s="60"/>
      <c r="E56" s="62"/>
      <c r="F56" s="61"/>
      <c r="G56" s="102">
        <f aca="true" t="shared" si="2" ref="G56:H58">SUM(G57)</f>
        <v>0</v>
      </c>
      <c r="H56" s="102">
        <f t="shared" si="2"/>
        <v>0</v>
      </c>
      <c r="I56" s="102" t="e">
        <f t="shared" si="0"/>
        <v>#DIV/0!</v>
      </c>
    </row>
    <row r="57" spans="1:9" ht="15.75" hidden="1" outlineLevel="5">
      <c r="A57" s="45" t="s">
        <v>37</v>
      </c>
      <c r="B57" s="60" t="s">
        <v>39</v>
      </c>
      <c r="C57" s="60" t="s">
        <v>44</v>
      </c>
      <c r="D57" s="60" t="s">
        <v>16</v>
      </c>
      <c r="E57" s="62" t="s">
        <v>9</v>
      </c>
      <c r="F57" s="61"/>
      <c r="G57" s="102">
        <f t="shared" si="2"/>
        <v>0</v>
      </c>
      <c r="H57" s="102">
        <f t="shared" si="2"/>
        <v>0</v>
      </c>
      <c r="I57" s="102" t="e">
        <f t="shared" si="0"/>
        <v>#DIV/0!</v>
      </c>
    </row>
    <row r="58" spans="1:9" ht="24" hidden="1" outlineLevel="2">
      <c r="A58" s="45" t="s">
        <v>149</v>
      </c>
      <c r="B58" s="60" t="s">
        <v>39</v>
      </c>
      <c r="C58" s="60" t="s">
        <v>44</v>
      </c>
      <c r="D58" s="60" t="s">
        <v>16</v>
      </c>
      <c r="E58" s="62" t="s">
        <v>9</v>
      </c>
      <c r="F58" s="61"/>
      <c r="G58" s="102">
        <f t="shared" si="2"/>
        <v>0</v>
      </c>
      <c r="H58" s="102">
        <f t="shared" si="2"/>
        <v>0</v>
      </c>
      <c r="I58" s="102" t="e">
        <f t="shared" si="0"/>
        <v>#DIV/0!</v>
      </c>
    </row>
    <row r="59" spans="1:9" ht="24" hidden="1" outlineLevel="5">
      <c r="A59" s="45" t="s">
        <v>98</v>
      </c>
      <c r="B59" s="60" t="s">
        <v>39</v>
      </c>
      <c r="C59" s="60" t="s">
        <v>44</v>
      </c>
      <c r="D59" s="60" t="s">
        <v>16</v>
      </c>
      <c r="E59" s="62">
        <v>0</v>
      </c>
      <c r="F59" s="61">
        <v>200</v>
      </c>
      <c r="G59" s="102">
        <v>0</v>
      </c>
      <c r="H59" s="102">
        <v>0</v>
      </c>
      <c r="I59" s="102" t="e">
        <f t="shared" si="0"/>
        <v>#DIV/0!</v>
      </c>
    </row>
    <row r="60" spans="1:9" ht="15.75" outlineLevel="1">
      <c r="A60" s="45" t="s">
        <v>38</v>
      </c>
      <c r="B60" s="60" t="s">
        <v>39</v>
      </c>
      <c r="C60" s="60" t="s">
        <v>45</v>
      </c>
      <c r="D60" s="60"/>
      <c r="E60" s="62"/>
      <c r="F60" s="61"/>
      <c r="G60" s="102">
        <f>SUM(G61)</f>
        <v>0</v>
      </c>
      <c r="H60" s="102">
        <f>SUM(H61)</f>
        <v>0</v>
      </c>
      <c r="I60" s="102">
        <v>0</v>
      </c>
    </row>
    <row r="61" spans="1:9" ht="29.25" customHeight="1" outlineLevel="2">
      <c r="A61" s="45" t="s">
        <v>149</v>
      </c>
      <c r="B61" s="60" t="s">
        <v>39</v>
      </c>
      <c r="C61" s="60" t="s">
        <v>45</v>
      </c>
      <c r="D61" s="60" t="s">
        <v>16</v>
      </c>
      <c r="E61" s="62" t="s">
        <v>9</v>
      </c>
      <c r="F61" s="61"/>
      <c r="G61" s="102">
        <f>SUM(G62)</f>
        <v>0</v>
      </c>
      <c r="H61" s="102">
        <f>SUM(H62)</f>
        <v>0</v>
      </c>
      <c r="I61" s="102">
        <v>0</v>
      </c>
    </row>
    <row r="62" spans="1:9" ht="15.75" outlineLevel="2">
      <c r="A62" s="45" t="s">
        <v>138</v>
      </c>
      <c r="B62" s="60" t="s">
        <v>39</v>
      </c>
      <c r="C62" s="60" t="s">
        <v>45</v>
      </c>
      <c r="D62" s="60" t="s">
        <v>16</v>
      </c>
      <c r="E62" s="62" t="s">
        <v>9</v>
      </c>
      <c r="F62" s="61">
        <v>800</v>
      </c>
      <c r="G62" s="102">
        <f>320-320</f>
        <v>0</v>
      </c>
      <c r="H62" s="102">
        <v>0</v>
      </c>
      <c r="I62" s="102">
        <v>0</v>
      </c>
    </row>
    <row r="63" spans="1:9" ht="15.75" outlineLevel="2">
      <c r="A63" s="45" t="s">
        <v>46</v>
      </c>
      <c r="B63" s="60" t="s">
        <v>39</v>
      </c>
      <c r="C63" s="60" t="s">
        <v>29</v>
      </c>
      <c r="D63" s="60"/>
      <c r="E63" s="62"/>
      <c r="F63" s="61"/>
      <c r="G63" s="102">
        <f>SUM(G64+G69+G75+G84+G87+G91+G94+G101+G82+G72+G80+G98)</f>
        <v>56431.41638</v>
      </c>
      <c r="H63" s="102">
        <f>SUM(H64+H69+H75+H84+H87+H91+H94+H101+H82+H72+H80+H98)</f>
        <v>55459.48775</v>
      </c>
      <c r="I63" s="102">
        <f t="shared" si="0"/>
        <v>98.27768166679498</v>
      </c>
    </row>
    <row r="64" spans="1:9" ht="35.25" customHeight="1" outlineLevel="2">
      <c r="A64" s="45" t="s">
        <v>306</v>
      </c>
      <c r="B64" s="60" t="s">
        <v>39</v>
      </c>
      <c r="C64" s="60" t="s">
        <v>29</v>
      </c>
      <c r="D64" s="60" t="s">
        <v>6</v>
      </c>
      <c r="E64" s="62">
        <v>0</v>
      </c>
      <c r="F64" s="61"/>
      <c r="G64" s="102">
        <f>SUM(G67+G65)</f>
        <v>2246.4840000000004</v>
      </c>
      <c r="H64" s="102">
        <f>SUM(H67+H65)</f>
        <v>2246.4840000000004</v>
      </c>
      <c r="I64" s="102">
        <f t="shared" si="0"/>
        <v>100</v>
      </c>
    </row>
    <row r="65" spans="1:9" ht="36" outlineLevel="2">
      <c r="A65" s="45" t="s">
        <v>196</v>
      </c>
      <c r="B65" s="60" t="s">
        <v>39</v>
      </c>
      <c r="C65" s="60" t="s">
        <v>29</v>
      </c>
      <c r="D65" s="60" t="s">
        <v>6</v>
      </c>
      <c r="E65" s="62">
        <v>3</v>
      </c>
      <c r="F65" s="61"/>
      <c r="G65" s="102">
        <f>SUM(G66:G66)</f>
        <v>1741.178</v>
      </c>
      <c r="H65" s="102">
        <f>SUM(H66:H66)</f>
        <v>1741.178</v>
      </c>
      <c r="I65" s="102">
        <f t="shared" si="0"/>
        <v>100</v>
      </c>
    </row>
    <row r="66" spans="1:9" ht="24" outlineLevel="2">
      <c r="A66" s="45" t="s">
        <v>150</v>
      </c>
      <c r="B66" s="60" t="s">
        <v>39</v>
      </c>
      <c r="C66" s="60" t="s">
        <v>29</v>
      </c>
      <c r="D66" s="60" t="s">
        <v>6</v>
      </c>
      <c r="E66" s="62">
        <v>3</v>
      </c>
      <c r="F66" s="61">
        <v>600</v>
      </c>
      <c r="G66" s="102">
        <v>1741.178</v>
      </c>
      <c r="H66" s="102">
        <v>1741.178</v>
      </c>
      <c r="I66" s="102">
        <f t="shared" si="0"/>
        <v>100</v>
      </c>
    </row>
    <row r="67" spans="1:9" ht="24" outlineLevel="2">
      <c r="A67" s="45" t="s">
        <v>179</v>
      </c>
      <c r="B67" s="60" t="s">
        <v>39</v>
      </c>
      <c r="C67" s="60" t="s">
        <v>29</v>
      </c>
      <c r="D67" s="60" t="s">
        <v>6</v>
      </c>
      <c r="E67" s="62">
        <v>4</v>
      </c>
      <c r="F67" s="61"/>
      <c r="G67" s="102">
        <f>SUM(G68)</f>
        <v>505.30600000000004</v>
      </c>
      <c r="H67" s="102">
        <f>SUM(H68)</f>
        <v>505.30600000000004</v>
      </c>
      <c r="I67" s="102">
        <f t="shared" si="0"/>
        <v>100</v>
      </c>
    </row>
    <row r="68" spans="1:9" ht="24" customHeight="1" outlineLevel="2">
      <c r="A68" s="45" t="s">
        <v>150</v>
      </c>
      <c r="B68" s="60" t="s">
        <v>39</v>
      </c>
      <c r="C68" s="60" t="s">
        <v>29</v>
      </c>
      <c r="D68" s="60" t="s">
        <v>6</v>
      </c>
      <c r="E68" s="62">
        <v>4</v>
      </c>
      <c r="F68" s="61">
        <v>600</v>
      </c>
      <c r="G68" s="102">
        <f>150+172.423+47.805+80+55.078</f>
        <v>505.30600000000004</v>
      </c>
      <c r="H68" s="102">
        <f>150+172.423+47.805+80+55.078</f>
        <v>505.30600000000004</v>
      </c>
      <c r="I68" s="102">
        <f t="shared" si="0"/>
        <v>100</v>
      </c>
    </row>
    <row r="69" spans="1:9" ht="32.25" customHeight="1" outlineLevel="2">
      <c r="A69" s="46" t="s">
        <v>324</v>
      </c>
      <c r="B69" s="60" t="s">
        <v>39</v>
      </c>
      <c r="C69" s="60" t="s">
        <v>29</v>
      </c>
      <c r="D69" s="60" t="s">
        <v>24</v>
      </c>
      <c r="E69" s="62">
        <v>0</v>
      </c>
      <c r="F69" s="61"/>
      <c r="G69" s="102">
        <f>SUM(G70)</f>
        <v>10.6</v>
      </c>
      <c r="H69" s="102">
        <f>SUM(H70)</f>
        <v>0</v>
      </c>
      <c r="I69" s="102">
        <f t="shared" si="0"/>
        <v>0</v>
      </c>
    </row>
    <row r="70" spans="1:9" ht="24" customHeight="1" outlineLevel="2">
      <c r="A70" s="45" t="s">
        <v>157</v>
      </c>
      <c r="B70" s="60" t="s">
        <v>39</v>
      </c>
      <c r="C70" s="60" t="s">
        <v>29</v>
      </c>
      <c r="D70" s="60" t="s">
        <v>24</v>
      </c>
      <c r="E70" s="62">
        <v>2</v>
      </c>
      <c r="F70" s="61"/>
      <c r="G70" s="102">
        <f>SUM(G71)</f>
        <v>10.6</v>
      </c>
      <c r="H70" s="102">
        <f>SUM(H71)</f>
        <v>0</v>
      </c>
      <c r="I70" s="102">
        <f t="shared" si="0"/>
        <v>0</v>
      </c>
    </row>
    <row r="71" spans="1:9" ht="61.5" customHeight="1" outlineLevel="2">
      <c r="A71" s="45" t="s">
        <v>319</v>
      </c>
      <c r="B71" s="60" t="s">
        <v>39</v>
      </c>
      <c r="C71" s="60" t="s">
        <v>29</v>
      </c>
      <c r="D71" s="60" t="s">
        <v>24</v>
      </c>
      <c r="E71" s="62">
        <v>2</v>
      </c>
      <c r="F71" s="61">
        <v>200</v>
      </c>
      <c r="G71" s="102">
        <f>10.5+0.1</f>
        <v>10.6</v>
      </c>
      <c r="H71" s="102">
        <v>0</v>
      </c>
      <c r="I71" s="102">
        <f t="shared" si="0"/>
        <v>0</v>
      </c>
    </row>
    <row r="72" spans="1:9" ht="15.75" outlineLevel="2">
      <c r="A72" s="45" t="s">
        <v>234</v>
      </c>
      <c r="B72" s="60" t="s">
        <v>39</v>
      </c>
      <c r="C72" s="60" t="s">
        <v>29</v>
      </c>
      <c r="D72" s="60" t="s">
        <v>10</v>
      </c>
      <c r="E72" s="62">
        <v>0</v>
      </c>
      <c r="F72" s="61"/>
      <c r="G72" s="102">
        <f>SUM(G73:G74)</f>
        <v>116.34</v>
      </c>
      <c r="H72" s="102">
        <f>SUM(H73:H74)</f>
        <v>100.7</v>
      </c>
      <c r="I72" s="102">
        <f t="shared" si="0"/>
        <v>86.55664431837718</v>
      </c>
    </row>
    <row r="73" spans="1:9" ht="24" outlineLevel="2">
      <c r="A73" s="45" t="s">
        <v>98</v>
      </c>
      <c r="B73" s="60" t="s">
        <v>39</v>
      </c>
      <c r="C73" s="60" t="s">
        <v>29</v>
      </c>
      <c r="D73" s="60" t="s">
        <v>10</v>
      </c>
      <c r="E73" s="62">
        <v>0</v>
      </c>
      <c r="F73" s="61">
        <v>200</v>
      </c>
      <c r="G73" s="102">
        <f>100+0.686+0.014</f>
        <v>100.7</v>
      </c>
      <c r="H73" s="102">
        <f>100+0.686+0.014</f>
        <v>100.7</v>
      </c>
      <c r="I73" s="102">
        <f t="shared" si="0"/>
        <v>100</v>
      </c>
    </row>
    <row r="74" spans="1:9" ht="72" outlineLevel="2">
      <c r="A74" s="45" t="s">
        <v>327</v>
      </c>
      <c r="B74" s="60" t="s">
        <v>39</v>
      </c>
      <c r="C74" s="60" t="s">
        <v>29</v>
      </c>
      <c r="D74" s="60" t="s">
        <v>10</v>
      </c>
      <c r="E74" s="62">
        <v>0</v>
      </c>
      <c r="F74" s="61">
        <v>200</v>
      </c>
      <c r="G74" s="102">
        <f>15.5+0.14</f>
        <v>15.64</v>
      </c>
      <c r="H74" s="102">
        <v>0</v>
      </c>
      <c r="I74" s="102">
        <f t="shared" si="0"/>
        <v>0</v>
      </c>
    </row>
    <row r="75" spans="1:9" ht="37.5" customHeight="1" outlineLevel="2">
      <c r="A75" s="45" t="s">
        <v>238</v>
      </c>
      <c r="B75" s="60" t="s">
        <v>39</v>
      </c>
      <c r="C75" s="60" t="s">
        <v>29</v>
      </c>
      <c r="D75" s="60" t="s">
        <v>145</v>
      </c>
      <c r="E75" s="62">
        <v>0</v>
      </c>
      <c r="F75" s="61"/>
      <c r="G75" s="102">
        <f>SUM(G76+G78)</f>
        <v>0</v>
      </c>
      <c r="H75" s="102">
        <f>SUM(H76+H78)</f>
        <v>0</v>
      </c>
      <c r="I75" s="102">
        <v>0</v>
      </c>
    </row>
    <row r="76" spans="1:9" ht="20.25" customHeight="1" outlineLevel="2">
      <c r="A76" s="45" t="s">
        <v>247</v>
      </c>
      <c r="B76" s="60" t="s">
        <v>39</v>
      </c>
      <c r="C76" s="60" t="s">
        <v>29</v>
      </c>
      <c r="D76" s="60" t="s">
        <v>145</v>
      </c>
      <c r="E76" s="62">
        <v>1</v>
      </c>
      <c r="F76" s="61"/>
      <c r="G76" s="102">
        <f>SUM(G77)</f>
        <v>0</v>
      </c>
      <c r="H76" s="102">
        <f>SUM(H77)</f>
        <v>0</v>
      </c>
      <c r="I76" s="102">
        <v>0</v>
      </c>
    </row>
    <row r="77" spans="1:9" ht="24" outlineLevel="2">
      <c r="A77" s="45" t="s">
        <v>98</v>
      </c>
      <c r="B77" s="60" t="s">
        <v>39</v>
      </c>
      <c r="C77" s="60" t="s">
        <v>29</v>
      </c>
      <c r="D77" s="60" t="s">
        <v>145</v>
      </c>
      <c r="E77" s="62">
        <v>1</v>
      </c>
      <c r="F77" s="61">
        <v>200</v>
      </c>
      <c r="G77" s="102">
        <f>50-15-25-10</f>
        <v>0</v>
      </c>
      <c r="H77" s="102">
        <f>50-15-25-10</f>
        <v>0</v>
      </c>
      <c r="I77" s="102">
        <v>0</v>
      </c>
    </row>
    <row r="78" spans="1:9" ht="24" outlineLevel="2">
      <c r="A78" s="45" t="s">
        <v>248</v>
      </c>
      <c r="B78" s="60" t="s">
        <v>39</v>
      </c>
      <c r="C78" s="60" t="s">
        <v>29</v>
      </c>
      <c r="D78" s="60" t="s">
        <v>145</v>
      </c>
      <c r="E78" s="62">
        <v>2</v>
      </c>
      <c r="F78" s="61"/>
      <c r="G78" s="102">
        <f>SUM(G79)</f>
        <v>0</v>
      </c>
      <c r="H78" s="102">
        <f>SUM(H79)</f>
        <v>0</v>
      </c>
      <c r="I78" s="102">
        <v>0</v>
      </c>
    </row>
    <row r="79" spans="1:9" ht="23.25" customHeight="1" outlineLevel="2">
      <c r="A79" s="45" t="s">
        <v>98</v>
      </c>
      <c r="B79" s="60" t="s">
        <v>39</v>
      </c>
      <c r="C79" s="60" t="s">
        <v>29</v>
      </c>
      <c r="D79" s="60" t="s">
        <v>145</v>
      </c>
      <c r="E79" s="62">
        <v>2</v>
      </c>
      <c r="F79" s="61">
        <v>200</v>
      </c>
      <c r="G79" s="102">
        <f>10-10</f>
        <v>0</v>
      </c>
      <c r="H79" s="102">
        <f>10-10</f>
        <v>0</v>
      </c>
      <c r="I79" s="102">
        <v>0</v>
      </c>
    </row>
    <row r="80" spans="1:9" ht="24" hidden="1" outlineLevel="2">
      <c r="A80" s="59" t="s">
        <v>213</v>
      </c>
      <c r="B80" s="60" t="s">
        <v>39</v>
      </c>
      <c r="C80" s="60" t="s">
        <v>29</v>
      </c>
      <c r="D80" s="60" t="s">
        <v>212</v>
      </c>
      <c r="E80" s="62">
        <v>0</v>
      </c>
      <c r="F80" s="61"/>
      <c r="G80" s="102">
        <f>SUM(G81)</f>
        <v>0</v>
      </c>
      <c r="H80" s="102">
        <f>SUM(H81)</f>
        <v>0</v>
      </c>
      <c r="I80" s="102" t="e">
        <f aca="true" t="shared" si="3" ref="I80:I138">SUM(H80/G80)*100</f>
        <v>#DIV/0!</v>
      </c>
    </row>
    <row r="81" spans="1:9" ht="24" hidden="1" outlineLevel="2">
      <c r="A81" s="59" t="s">
        <v>98</v>
      </c>
      <c r="B81" s="60" t="s">
        <v>39</v>
      </c>
      <c r="C81" s="60" t="s">
        <v>29</v>
      </c>
      <c r="D81" s="60" t="s">
        <v>212</v>
      </c>
      <c r="E81" s="62">
        <v>0</v>
      </c>
      <c r="F81" s="61">
        <v>200</v>
      </c>
      <c r="G81" s="102">
        <v>0</v>
      </c>
      <c r="H81" s="102">
        <v>0</v>
      </c>
      <c r="I81" s="102" t="e">
        <f t="shared" si="3"/>
        <v>#DIV/0!</v>
      </c>
    </row>
    <row r="82" spans="1:9" ht="35.25" customHeight="1" outlineLevel="2">
      <c r="A82" s="45" t="s">
        <v>240</v>
      </c>
      <c r="B82" s="60" t="s">
        <v>39</v>
      </c>
      <c r="C82" s="60" t="s">
        <v>29</v>
      </c>
      <c r="D82" s="60" t="s">
        <v>177</v>
      </c>
      <c r="E82" s="62">
        <v>0</v>
      </c>
      <c r="F82" s="61"/>
      <c r="G82" s="102">
        <f>SUM(G83)</f>
        <v>0</v>
      </c>
      <c r="H82" s="102">
        <f>SUM(H83)</f>
        <v>0</v>
      </c>
      <c r="I82" s="102">
        <v>0</v>
      </c>
    </row>
    <row r="83" spans="1:9" ht="24" outlineLevel="2">
      <c r="A83" s="45" t="s">
        <v>98</v>
      </c>
      <c r="B83" s="60" t="s">
        <v>39</v>
      </c>
      <c r="C83" s="60" t="s">
        <v>29</v>
      </c>
      <c r="D83" s="60" t="s">
        <v>177</v>
      </c>
      <c r="E83" s="62">
        <v>0</v>
      </c>
      <c r="F83" s="61">
        <v>200</v>
      </c>
      <c r="G83" s="102">
        <f>10-10</f>
        <v>0</v>
      </c>
      <c r="H83" s="102">
        <f>10-10</f>
        <v>0</v>
      </c>
      <c r="I83" s="102">
        <v>0</v>
      </c>
    </row>
    <row r="84" spans="1:9" ht="51" customHeight="1" outlineLevel="2">
      <c r="A84" s="45" t="s">
        <v>311</v>
      </c>
      <c r="B84" s="60" t="s">
        <v>39</v>
      </c>
      <c r="C84" s="60" t="s">
        <v>29</v>
      </c>
      <c r="D84" s="60" t="s">
        <v>14</v>
      </c>
      <c r="E84" s="62">
        <v>0</v>
      </c>
      <c r="F84" s="61"/>
      <c r="G84" s="102">
        <f>SUM(G85:G86)</f>
        <v>50859.64523</v>
      </c>
      <c r="H84" s="102">
        <f>SUM(H85:H86)</f>
        <v>49913.9566</v>
      </c>
      <c r="I84" s="102">
        <f t="shared" si="3"/>
        <v>98.1405913751003</v>
      </c>
    </row>
    <row r="85" spans="1:9" ht="23.25" customHeight="1" outlineLevel="2">
      <c r="A85" s="45" t="s">
        <v>150</v>
      </c>
      <c r="B85" s="60" t="s">
        <v>39</v>
      </c>
      <c r="C85" s="60" t="s">
        <v>29</v>
      </c>
      <c r="D85" s="60" t="s">
        <v>14</v>
      </c>
      <c r="E85" s="62">
        <v>0</v>
      </c>
      <c r="F85" s="61">
        <v>600</v>
      </c>
      <c r="G85" s="102">
        <f>20200+10629.8+170.2-1000-500+4500+1192+4298.5+500+2000+1000+3266.6-200+169.26+1100+900+1100+1264.59835</f>
        <v>50590.95835</v>
      </c>
      <c r="H85" s="102">
        <v>49645.26972</v>
      </c>
      <c r="I85" s="102">
        <f t="shared" si="3"/>
        <v>98.13071611836742</v>
      </c>
    </row>
    <row r="86" spans="1:9" ht="35.25" customHeight="1" outlineLevel="2">
      <c r="A86" s="45" t="s">
        <v>274</v>
      </c>
      <c r="B86" s="60" t="s">
        <v>39</v>
      </c>
      <c r="C86" s="60" t="s">
        <v>29</v>
      </c>
      <c r="D86" s="60" t="s">
        <v>14</v>
      </c>
      <c r="E86" s="62">
        <v>0</v>
      </c>
      <c r="F86" s="61">
        <v>600</v>
      </c>
      <c r="G86" s="102">
        <f>1020-751.31312</f>
        <v>268.68688</v>
      </c>
      <c r="H86" s="102">
        <f>1020-751.31312</f>
        <v>268.68688</v>
      </c>
      <c r="I86" s="102">
        <f t="shared" si="3"/>
        <v>100</v>
      </c>
    </row>
    <row r="87" spans="1:9" ht="15.75" outlineLevel="2">
      <c r="A87" s="45" t="s">
        <v>224</v>
      </c>
      <c r="B87" s="60" t="s">
        <v>39</v>
      </c>
      <c r="C87" s="60" t="s">
        <v>29</v>
      </c>
      <c r="D87" s="60"/>
      <c r="E87" s="62"/>
      <c r="F87" s="61"/>
      <c r="G87" s="102">
        <f>SUM(G88)</f>
        <v>1178.4</v>
      </c>
      <c r="H87" s="102">
        <f>SUM(H88)</f>
        <v>1178.4</v>
      </c>
      <c r="I87" s="102">
        <f t="shared" si="3"/>
        <v>100</v>
      </c>
    </row>
    <row r="88" spans="1:9" ht="26.25" customHeight="1" outlineLevel="2">
      <c r="A88" s="45" t="s">
        <v>99</v>
      </c>
      <c r="B88" s="60" t="s">
        <v>39</v>
      </c>
      <c r="C88" s="60" t="s">
        <v>29</v>
      </c>
      <c r="D88" s="60" t="s">
        <v>11</v>
      </c>
      <c r="E88" s="62">
        <v>0</v>
      </c>
      <c r="F88" s="61"/>
      <c r="G88" s="102">
        <f>SUM(G89:G90)</f>
        <v>1178.4</v>
      </c>
      <c r="H88" s="102">
        <f>SUM(H89:H90)</f>
        <v>1178.4</v>
      </c>
      <c r="I88" s="102">
        <f t="shared" si="3"/>
        <v>100</v>
      </c>
    </row>
    <row r="89" spans="1:9" ht="50.25" customHeight="1" outlineLevel="2">
      <c r="A89" s="45" t="s">
        <v>97</v>
      </c>
      <c r="B89" s="60" t="s">
        <v>39</v>
      </c>
      <c r="C89" s="60" t="s">
        <v>29</v>
      </c>
      <c r="D89" s="60" t="s">
        <v>11</v>
      </c>
      <c r="E89" s="62" t="s">
        <v>9</v>
      </c>
      <c r="F89" s="61">
        <v>100</v>
      </c>
      <c r="G89" s="102">
        <f>1058.6+9.85296</f>
        <v>1068.4529599999998</v>
      </c>
      <c r="H89" s="102">
        <f>1058.6+9.85296</f>
        <v>1068.4529599999998</v>
      </c>
      <c r="I89" s="102">
        <f t="shared" si="3"/>
        <v>100</v>
      </c>
    </row>
    <row r="90" spans="1:9" ht="24" outlineLevel="2">
      <c r="A90" s="45" t="s">
        <v>98</v>
      </c>
      <c r="B90" s="60" t="s">
        <v>39</v>
      </c>
      <c r="C90" s="60" t="s">
        <v>29</v>
      </c>
      <c r="D90" s="60" t="s">
        <v>11</v>
      </c>
      <c r="E90" s="62" t="s">
        <v>9</v>
      </c>
      <c r="F90" s="61">
        <v>200</v>
      </c>
      <c r="G90" s="102">
        <f>1178.4-G89</f>
        <v>109.94704000000024</v>
      </c>
      <c r="H90" s="102">
        <f>1178.4-H89</f>
        <v>109.94704000000024</v>
      </c>
      <c r="I90" s="102">
        <f t="shared" si="3"/>
        <v>100</v>
      </c>
    </row>
    <row r="91" spans="1:9" ht="27.75" customHeight="1" outlineLevel="2">
      <c r="A91" s="45" t="s">
        <v>219</v>
      </c>
      <c r="B91" s="60" t="s">
        <v>39</v>
      </c>
      <c r="C91" s="60" t="s">
        <v>29</v>
      </c>
      <c r="D91" s="60" t="s">
        <v>16</v>
      </c>
      <c r="E91" s="62">
        <v>0</v>
      </c>
      <c r="F91" s="61"/>
      <c r="G91" s="102">
        <f>SUM(G92)</f>
        <v>100</v>
      </c>
      <c r="H91" s="102">
        <f>SUM(H92)</f>
        <v>100</v>
      </c>
      <c r="I91" s="102">
        <f t="shared" si="3"/>
        <v>100</v>
      </c>
    </row>
    <row r="92" spans="1:9" ht="25.5" customHeight="1" outlineLevel="2">
      <c r="A92" s="45" t="s">
        <v>149</v>
      </c>
      <c r="B92" s="60" t="s">
        <v>39</v>
      </c>
      <c r="C92" s="60" t="s">
        <v>29</v>
      </c>
      <c r="D92" s="60" t="s">
        <v>16</v>
      </c>
      <c r="E92" s="62" t="s">
        <v>9</v>
      </c>
      <c r="F92" s="61"/>
      <c r="G92" s="102">
        <f>SUM(G93)</f>
        <v>100</v>
      </c>
      <c r="H92" s="102">
        <f>SUM(H93)</f>
        <v>100</v>
      </c>
      <c r="I92" s="102">
        <f t="shared" si="3"/>
        <v>100</v>
      </c>
    </row>
    <row r="93" spans="1:9" ht="24" outlineLevel="5">
      <c r="A93" s="45" t="s">
        <v>98</v>
      </c>
      <c r="B93" s="60" t="s">
        <v>39</v>
      </c>
      <c r="C93" s="60" t="s">
        <v>29</v>
      </c>
      <c r="D93" s="60" t="s">
        <v>16</v>
      </c>
      <c r="E93" s="62" t="s">
        <v>9</v>
      </c>
      <c r="F93" s="61">
        <v>200</v>
      </c>
      <c r="G93" s="102">
        <v>100</v>
      </c>
      <c r="H93" s="102">
        <v>100</v>
      </c>
      <c r="I93" s="102">
        <f t="shared" si="3"/>
        <v>100</v>
      </c>
    </row>
    <row r="94" spans="1:9" ht="24" outlineLevel="5">
      <c r="A94" s="45" t="s">
        <v>218</v>
      </c>
      <c r="B94" s="60" t="s">
        <v>39</v>
      </c>
      <c r="C94" s="60" t="s">
        <v>29</v>
      </c>
      <c r="D94" s="60" t="s">
        <v>16</v>
      </c>
      <c r="E94" s="62">
        <v>0</v>
      </c>
      <c r="F94" s="61"/>
      <c r="G94" s="102">
        <f>SUM(G95)</f>
        <v>1919.94715</v>
      </c>
      <c r="H94" s="102">
        <f>SUM(H95)</f>
        <v>1919.94715</v>
      </c>
      <c r="I94" s="102">
        <f t="shared" si="3"/>
        <v>100</v>
      </c>
    </row>
    <row r="95" spans="1:9" ht="24.75" customHeight="1" outlineLevel="5">
      <c r="A95" s="45" t="s">
        <v>149</v>
      </c>
      <c r="B95" s="60" t="s">
        <v>39</v>
      </c>
      <c r="C95" s="60" t="s">
        <v>29</v>
      </c>
      <c r="D95" s="60" t="s">
        <v>16</v>
      </c>
      <c r="E95" s="62" t="s">
        <v>9</v>
      </c>
      <c r="F95" s="61"/>
      <c r="G95" s="102">
        <f>SUM(G96:G97)</f>
        <v>1919.94715</v>
      </c>
      <c r="H95" s="102">
        <f>SUM(H96:H97)</f>
        <v>1919.94715</v>
      </c>
      <c r="I95" s="102">
        <f t="shared" si="3"/>
        <v>100</v>
      </c>
    </row>
    <row r="96" spans="1:9" ht="24" outlineLevel="5">
      <c r="A96" s="45" t="s">
        <v>98</v>
      </c>
      <c r="B96" s="60" t="s">
        <v>39</v>
      </c>
      <c r="C96" s="60" t="s">
        <v>29</v>
      </c>
      <c r="D96" s="60" t="s">
        <v>16</v>
      </c>
      <c r="E96" s="62">
        <v>0</v>
      </c>
      <c r="F96" s="61">
        <v>200</v>
      </c>
      <c r="G96" s="102">
        <f>305.40694-70.2+2000-1685.25-0.00022+0.022-59.95982+59.95982+5.76818-84.8-59.186-9.02296+5.86083-29.772</f>
        <v>378.8267700000001</v>
      </c>
      <c r="H96" s="102">
        <f>305.40694-70.2+2000-1685.25-0.00022+0.022-59.95982+59.95982+5.76818-84.8-59.186-9.02296+5.86083-29.772</f>
        <v>378.8267700000001</v>
      </c>
      <c r="I96" s="102">
        <f t="shared" si="3"/>
        <v>100</v>
      </c>
    </row>
    <row r="97" spans="1:9" ht="13.5" customHeight="1" outlineLevel="5">
      <c r="A97" s="45" t="s">
        <v>138</v>
      </c>
      <c r="B97" s="60" t="s">
        <v>39</v>
      </c>
      <c r="C97" s="60" t="s">
        <v>29</v>
      </c>
      <c r="D97" s="60" t="s">
        <v>16</v>
      </c>
      <c r="E97" s="62">
        <v>0</v>
      </c>
      <c r="F97" s="61">
        <v>800</v>
      </c>
      <c r="G97" s="102">
        <f>1000+200+36+84.8+11.6+58.5+76.5+38.0225+35.69788</f>
        <v>1541.1203799999998</v>
      </c>
      <c r="H97" s="102">
        <f>1000+200+36+84.8+11.6+58.5+76.5+38.0225+35.69788</f>
        <v>1541.1203799999998</v>
      </c>
      <c r="I97" s="102">
        <f t="shared" si="3"/>
        <v>100</v>
      </c>
    </row>
    <row r="98" spans="1:9" ht="24" hidden="1" outlineLevel="5">
      <c r="A98" s="45" t="s">
        <v>300</v>
      </c>
      <c r="B98" s="60" t="s">
        <v>39</v>
      </c>
      <c r="C98" s="60" t="s">
        <v>29</v>
      </c>
      <c r="D98" s="60" t="s">
        <v>16</v>
      </c>
      <c r="E98" s="62">
        <v>0</v>
      </c>
      <c r="F98" s="61"/>
      <c r="G98" s="102">
        <f>SUM(G99)</f>
        <v>0</v>
      </c>
      <c r="H98" s="102">
        <f>SUM(H99)</f>
        <v>0</v>
      </c>
      <c r="I98" s="102" t="e">
        <f t="shared" si="3"/>
        <v>#DIV/0!</v>
      </c>
    </row>
    <row r="99" spans="1:9" ht="24" hidden="1" outlineLevel="5">
      <c r="A99" s="45" t="s">
        <v>149</v>
      </c>
      <c r="B99" s="60" t="s">
        <v>39</v>
      </c>
      <c r="C99" s="60" t="s">
        <v>29</v>
      </c>
      <c r="D99" s="60" t="s">
        <v>16</v>
      </c>
      <c r="E99" s="62" t="s">
        <v>9</v>
      </c>
      <c r="F99" s="61"/>
      <c r="G99" s="102">
        <f>SUM(G100)</f>
        <v>0</v>
      </c>
      <c r="H99" s="102">
        <f>SUM(H100)</f>
        <v>0</v>
      </c>
      <c r="I99" s="102" t="e">
        <f t="shared" si="3"/>
        <v>#DIV/0!</v>
      </c>
    </row>
    <row r="100" spans="1:9" ht="24" hidden="1" outlineLevel="5">
      <c r="A100" s="45" t="s">
        <v>98</v>
      </c>
      <c r="B100" s="60" t="s">
        <v>39</v>
      </c>
      <c r="C100" s="60" t="s">
        <v>29</v>
      </c>
      <c r="D100" s="60" t="s">
        <v>16</v>
      </c>
      <c r="E100" s="62">
        <v>0</v>
      </c>
      <c r="F100" s="61">
        <v>200</v>
      </c>
      <c r="G100" s="102">
        <v>0</v>
      </c>
      <c r="H100" s="102">
        <v>0</v>
      </c>
      <c r="I100" s="102" t="e">
        <f t="shared" si="3"/>
        <v>#DIV/0!</v>
      </c>
    </row>
    <row r="101" spans="1:9" ht="15.75" hidden="1" outlineLevel="5">
      <c r="A101" s="45" t="s">
        <v>47</v>
      </c>
      <c r="B101" s="60" t="s">
        <v>39</v>
      </c>
      <c r="C101" s="60" t="s">
        <v>29</v>
      </c>
      <c r="D101" s="60" t="s">
        <v>16</v>
      </c>
      <c r="E101" s="62">
        <v>0</v>
      </c>
      <c r="F101" s="61"/>
      <c r="G101" s="102">
        <v>0</v>
      </c>
      <c r="H101" s="102">
        <v>0</v>
      </c>
      <c r="I101" s="102">
        <v>0</v>
      </c>
    </row>
    <row r="102" spans="1:9" ht="15.75" outlineLevel="1">
      <c r="A102" s="45" t="s">
        <v>48</v>
      </c>
      <c r="B102" s="60" t="s">
        <v>39</v>
      </c>
      <c r="C102" s="60" t="s">
        <v>109</v>
      </c>
      <c r="D102" s="60"/>
      <c r="E102" s="62"/>
      <c r="F102" s="61"/>
      <c r="G102" s="102">
        <f aca="true" t="shared" si="4" ref="G102:H105">SUM(G103)</f>
        <v>1.4565000000000001</v>
      </c>
      <c r="H102" s="102">
        <f t="shared" si="4"/>
        <v>1.4565000000000001</v>
      </c>
      <c r="I102" s="102">
        <f t="shared" si="3"/>
        <v>100</v>
      </c>
    </row>
    <row r="103" spans="1:9" ht="15.75" outlineLevel="2">
      <c r="A103" s="45" t="s">
        <v>49</v>
      </c>
      <c r="B103" s="60" t="s">
        <v>39</v>
      </c>
      <c r="C103" s="60" t="s">
        <v>50</v>
      </c>
      <c r="D103" s="60"/>
      <c r="E103" s="62"/>
      <c r="F103" s="61"/>
      <c r="G103" s="102">
        <f t="shared" si="4"/>
        <v>1.4565000000000001</v>
      </c>
      <c r="H103" s="102">
        <f t="shared" si="4"/>
        <v>1.4565000000000001</v>
      </c>
      <c r="I103" s="102">
        <f t="shared" si="3"/>
        <v>100</v>
      </c>
    </row>
    <row r="104" spans="1:9" ht="24" outlineLevel="5">
      <c r="A104" s="45" t="s">
        <v>17</v>
      </c>
      <c r="B104" s="60" t="s">
        <v>39</v>
      </c>
      <c r="C104" s="60" t="s">
        <v>50</v>
      </c>
      <c r="D104" s="60"/>
      <c r="E104" s="62"/>
      <c r="F104" s="61"/>
      <c r="G104" s="102">
        <f t="shared" si="4"/>
        <v>1.4565000000000001</v>
      </c>
      <c r="H104" s="102">
        <f t="shared" si="4"/>
        <v>1.4565000000000001</v>
      </c>
      <c r="I104" s="102">
        <f t="shared" si="3"/>
        <v>100</v>
      </c>
    </row>
    <row r="105" spans="1:9" ht="27" customHeight="1" outlineLevel="5">
      <c r="A105" s="45" t="s">
        <v>149</v>
      </c>
      <c r="B105" s="60" t="s">
        <v>39</v>
      </c>
      <c r="C105" s="60" t="s">
        <v>50</v>
      </c>
      <c r="D105" s="60" t="s">
        <v>16</v>
      </c>
      <c r="E105" s="62">
        <v>0</v>
      </c>
      <c r="F105" s="61"/>
      <c r="G105" s="102">
        <f t="shared" si="4"/>
        <v>1.4565000000000001</v>
      </c>
      <c r="H105" s="102">
        <f t="shared" si="4"/>
        <v>1.4565000000000001</v>
      </c>
      <c r="I105" s="102">
        <f t="shared" si="3"/>
        <v>100</v>
      </c>
    </row>
    <row r="106" spans="1:9" ht="24" outlineLevel="5">
      <c r="A106" s="45" t="s">
        <v>98</v>
      </c>
      <c r="B106" s="60" t="s">
        <v>39</v>
      </c>
      <c r="C106" s="60" t="s">
        <v>50</v>
      </c>
      <c r="D106" s="60" t="s">
        <v>16</v>
      </c>
      <c r="E106" s="62">
        <v>0</v>
      </c>
      <c r="F106" s="61">
        <v>200</v>
      </c>
      <c r="G106" s="102">
        <f>20-10-8.5435</f>
        <v>1.4565000000000001</v>
      </c>
      <c r="H106" s="102">
        <f>20-10-8.5435</f>
        <v>1.4565000000000001</v>
      </c>
      <c r="I106" s="102">
        <f t="shared" si="3"/>
        <v>100</v>
      </c>
    </row>
    <row r="107" spans="1:9" ht="15.75" outlineLevel="5">
      <c r="A107" s="45" t="s">
        <v>114</v>
      </c>
      <c r="B107" s="60" t="s">
        <v>39</v>
      </c>
      <c r="C107" s="60" t="s">
        <v>110</v>
      </c>
      <c r="D107" s="60"/>
      <c r="E107" s="62"/>
      <c r="F107" s="61"/>
      <c r="G107" s="102">
        <f>SUM(G108+G111)</f>
        <v>0</v>
      </c>
      <c r="H107" s="102">
        <f>SUM(H108+H111)</f>
        <v>0</v>
      </c>
      <c r="I107" s="102">
        <v>0</v>
      </c>
    </row>
    <row r="108" spans="1:9" ht="15.75" outlineLevel="5">
      <c r="A108" s="45" t="s">
        <v>285</v>
      </c>
      <c r="B108" s="60" t="s">
        <v>39</v>
      </c>
      <c r="C108" s="60" t="s">
        <v>51</v>
      </c>
      <c r="D108" s="60"/>
      <c r="E108" s="62"/>
      <c r="F108" s="61"/>
      <c r="G108" s="102">
        <f>SUM(G109)</f>
        <v>0</v>
      </c>
      <c r="H108" s="102">
        <f>SUM(H109)</f>
        <v>0</v>
      </c>
      <c r="I108" s="102">
        <v>0</v>
      </c>
    </row>
    <row r="109" spans="1:9" ht="24" outlineLevel="5">
      <c r="A109" s="45" t="s">
        <v>149</v>
      </c>
      <c r="B109" s="60" t="s">
        <v>39</v>
      </c>
      <c r="C109" s="60" t="s">
        <v>51</v>
      </c>
      <c r="D109" s="60" t="s">
        <v>16</v>
      </c>
      <c r="E109" s="62">
        <v>0</v>
      </c>
      <c r="F109" s="61"/>
      <c r="G109" s="102">
        <f>SUM(G110)</f>
        <v>0</v>
      </c>
      <c r="H109" s="102">
        <f>SUM(H110)</f>
        <v>0</v>
      </c>
      <c r="I109" s="102">
        <v>0</v>
      </c>
    </row>
    <row r="110" spans="1:9" ht="24" outlineLevel="5">
      <c r="A110" s="45" t="s">
        <v>98</v>
      </c>
      <c r="B110" s="60" t="s">
        <v>39</v>
      </c>
      <c r="C110" s="60" t="s">
        <v>51</v>
      </c>
      <c r="D110" s="60" t="s">
        <v>16</v>
      </c>
      <c r="E110" s="62">
        <v>0</v>
      </c>
      <c r="F110" s="61">
        <v>200</v>
      </c>
      <c r="G110" s="102">
        <f>20-20</f>
        <v>0</v>
      </c>
      <c r="H110" s="102">
        <f>20-20</f>
        <v>0</v>
      </c>
      <c r="I110" s="102">
        <v>0</v>
      </c>
    </row>
    <row r="111" spans="1:9" ht="30" customHeight="1" outlineLevel="1">
      <c r="A111" s="45" t="s">
        <v>283</v>
      </c>
      <c r="B111" s="60" t="s">
        <v>39</v>
      </c>
      <c r="C111" s="60" t="s">
        <v>284</v>
      </c>
      <c r="D111" s="60"/>
      <c r="E111" s="62"/>
      <c r="F111" s="61"/>
      <c r="G111" s="102">
        <f>SUM(G112)</f>
        <v>0</v>
      </c>
      <c r="H111" s="102">
        <f>SUM(H112)</f>
        <v>0</v>
      </c>
      <c r="I111" s="102">
        <v>0</v>
      </c>
    </row>
    <row r="112" spans="1:9" ht="24.75" customHeight="1" outlineLevel="2">
      <c r="A112" s="45" t="s">
        <v>149</v>
      </c>
      <c r="B112" s="60" t="s">
        <v>39</v>
      </c>
      <c r="C112" s="60" t="s">
        <v>284</v>
      </c>
      <c r="D112" s="60" t="s">
        <v>16</v>
      </c>
      <c r="E112" s="62">
        <v>0</v>
      </c>
      <c r="F112" s="61"/>
      <c r="G112" s="102">
        <f>SUM(G113)</f>
        <v>0</v>
      </c>
      <c r="H112" s="102">
        <f>SUM(H113)</f>
        <v>0</v>
      </c>
      <c r="I112" s="102">
        <v>0</v>
      </c>
    </row>
    <row r="113" spans="1:9" ht="24" outlineLevel="3">
      <c r="A113" s="45" t="s">
        <v>98</v>
      </c>
      <c r="B113" s="60" t="s">
        <v>39</v>
      </c>
      <c r="C113" s="60" t="s">
        <v>284</v>
      </c>
      <c r="D113" s="60" t="s">
        <v>16</v>
      </c>
      <c r="E113" s="62">
        <v>0</v>
      </c>
      <c r="F113" s="61">
        <v>200</v>
      </c>
      <c r="G113" s="102">
        <f>50+10-10-38.0225-5.69788-2.70733-3.57229</f>
        <v>0</v>
      </c>
      <c r="H113" s="102">
        <f>50+10-10-38.0225-5.69788-2.70733-3.57229</f>
        <v>0</v>
      </c>
      <c r="I113" s="102">
        <v>0</v>
      </c>
    </row>
    <row r="114" spans="1:9" ht="15" customHeight="1" outlineLevel="3">
      <c r="A114" s="45" t="s">
        <v>115</v>
      </c>
      <c r="B114" s="60" t="s">
        <v>39</v>
      </c>
      <c r="C114" s="60" t="s">
        <v>59</v>
      </c>
      <c r="D114" s="60"/>
      <c r="E114" s="62"/>
      <c r="F114" s="61"/>
      <c r="G114" s="103">
        <f>SUM(G115+G119+G127)</f>
        <v>22533.46592</v>
      </c>
      <c r="H114" s="103">
        <f>SUM(H115+H119+H127)</f>
        <v>19558.01206</v>
      </c>
      <c r="I114" s="102">
        <f t="shared" si="3"/>
        <v>86.7954008026831</v>
      </c>
    </row>
    <row r="115" spans="1:9" ht="15.75" outlineLevel="3">
      <c r="A115" s="45" t="s">
        <v>139</v>
      </c>
      <c r="B115" s="60" t="s">
        <v>39</v>
      </c>
      <c r="C115" s="60" t="s">
        <v>140</v>
      </c>
      <c r="D115" s="60"/>
      <c r="E115" s="62"/>
      <c r="F115" s="61"/>
      <c r="G115" s="102">
        <f aca="true" t="shared" si="5" ref="G115:H117">SUM(G116)</f>
        <v>143.5</v>
      </c>
      <c r="H115" s="102">
        <f t="shared" si="5"/>
        <v>143.5</v>
      </c>
      <c r="I115" s="102">
        <f t="shared" si="3"/>
        <v>100</v>
      </c>
    </row>
    <row r="116" spans="1:9" ht="48" outlineLevel="3">
      <c r="A116" s="45" t="s">
        <v>220</v>
      </c>
      <c r="B116" s="60" t="s">
        <v>39</v>
      </c>
      <c r="C116" s="60" t="s">
        <v>140</v>
      </c>
      <c r="D116" s="60" t="s">
        <v>16</v>
      </c>
      <c r="E116" s="62">
        <v>0</v>
      </c>
      <c r="F116" s="61"/>
      <c r="G116" s="102">
        <f t="shared" si="5"/>
        <v>143.5</v>
      </c>
      <c r="H116" s="102">
        <f t="shared" si="5"/>
        <v>143.5</v>
      </c>
      <c r="I116" s="102">
        <f t="shared" si="3"/>
        <v>100</v>
      </c>
    </row>
    <row r="117" spans="1:9" ht="24" outlineLevel="3">
      <c r="A117" s="45" t="s">
        <v>149</v>
      </c>
      <c r="B117" s="60" t="s">
        <v>39</v>
      </c>
      <c r="C117" s="60" t="s">
        <v>140</v>
      </c>
      <c r="D117" s="60" t="s">
        <v>16</v>
      </c>
      <c r="E117" s="62">
        <v>0</v>
      </c>
      <c r="F117" s="61"/>
      <c r="G117" s="102">
        <f t="shared" si="5"/>
        <v>143.5</v>
      </c>
      <c r="H117" s="102">
        <f t="shared" si="5"/>
        <v>143.5</v>
      </c>
      <c r="I117" s="102">
        <f t="shared" si="3"/>
        <v>100</v>
      </c>
    </row>
    <row r="118" spans="1:9" ht="21.75" customHeight="1" outlineLevel="3">
      <c r="A118" s="45" t="s">
        <v>98</v>
      </c>
      <c r="B118" s="60" t="s">
        <v>39</v>
      </c>
      <c r="C118" s="60" t="s">
        <v>140</v>
      </c>
      <c r="D118" s="60" t="s">
        <v>16</v>
      </c>
      <c r="E118" s="62">
        <v>0</v>
      </c>
      <c r="F118" s="61">
        <v>200</v>
      </c>
      <c r="G118" s="102">
        <v>143.5</v>
      </c>
      <c r="H118" s="102">
        <v>143.5</v>
      </c>
      <c r="I118" s="102">
        <f t="shared" si="3"/>
        <v>100</v>
      </c>
    </row>
    <row r="119" spans="1:9" ht="15.75">
      <c r="A119" s="45" t="s">
        <v>116</v>
      </c>
      <c r="B119" s="60" t="s">
        <v>39</v>
      </c>
      <c r="C119" s="60" t="s">
        <v>52</v>
      </c>
      <c r="D119" s="60"/>
      <c r="E119" s="62"/>
      <c r="F119" s="61"/>
      <c r="G119" s="103">
        <f>SUM(G120+G125)</f>
        <v>21148.52972</v>
      </c>
      <c r="H119" s="103">
        <f>SUM(H120+H125)</f>
        <v>18235.57586</v>
      </c>
      <c r="I119" s="102">
        <f t="shared" si="3"/>
        <v>86.22621100111164</v>
      </c>
    </row>
    <row r="120" spans="1:9" ht="38.25" customHeight="1" outlineLevel="1">
      <c r="A120" s="45" t="s">
        <v>259</v>
      </c>
      <c r="B120" s="60" t="s">
        <v>39</v>
      </c>
      <c r="C120" s="60" t="s">
        <v>52</v>
      </c>
      <c r="D120" s="60" t="s">
        <v>143</v>
      </c>
      <c r="E120" s="62">
        <v>0</v>
      </c>
      <c r="F120" s="63"/>
      <c r="G120" s="102">
        <f>SUM(G121:G124)</f>
        <v>21148.52972</v>
      </c>
      <c r="H120" s="102">
        <f>SUM(H121:H124)</f>
        <v>18235.57586</v>
      </c>
      <c r="I120" s="102">
        <f t="shared" si="3"/>
        <v>86.22621100111164</v>
      </c>
    </row>
    <row r="121" spans="1:9" ht="24" outlineLevel="2">
      <c r="A121" s="45" t="s">
        <v>98</v>
      </c>
      <c r="B121" s="60" t="s">
        <v>39</v>
      </c>
      <c r="C121" s="60" t="s">
        <v>52</v>
      </c>
      <c r="D121" s="60" t="s">
        <v>143</v>
      </c>
      <c r="E121" s="62">
        <v>0</v>
      </c>
      <c r="F121" s="63">
        <v>200</v>
      </c>
      <c r="G121" s="102">
        <f>10191.5-53.27275-4500-400+23.07897-500-2000-1000+276.9-0.10925-50.1+360.42164</f>
        <v>2348.4186099999997</v>
      </c>
      <c r="H121" s="102">
        <v>0</v>
      </c>
      <c r="I121" s="102">
        <f t="shared" si="3"/>
        <v>0</v>
      </c>
    </row>
    <row r="122" spans="1:9" ht="25.5" customHeight="1" outlineLevel="2">
      <c r="A122" s="45" t="s">
        <v>288</v>
      </c>
      <c r="B122" s="60" t="s">
        <v>39</v>
      </c>
      <c r="C122" s="60" t="s">
        <v>52</v>
      </c>
      <c r="D122" s="60" t="s">
        <v>143</v>
      </c>
      <c r="E122" s="62">
        <v>0</v>
      </c>
      <c r="F122" s="63">
        <v>200</v>
      </c>
      <c r="G122" s="102">
        <f>10689+8000-1800-3615-2284.81828+10.81828</f>
        <v>11000</v>
      </c>
      <c r="H122" s="102">
        <v>10445.09766</v>
      </c>
      <c r="I122" s="102">
        <f t="shared" si="3"/>
        <v>94.95543327272726</v>
      </c>
    </row>
    <row r="123" spans="1:9" ht="36" outlineLevel="2">
      <c r="A123" s="45" t="s">
        <v>289</v>
      </c>
      <c r="B123" s="60" t="s">
        <v>39</v>
      </c>
      <c r="C123" s="60" t="s">
        <v>52</v>
      </c>
      <c r="D123" s="60" t="s">
        <v>143</v>
      </c>
      <c r="E123" s="62">
        <v>0</v>
      </c>
      <c r="F123" s="63">
        <v>200</v>
      </c>
      <c r="G123" s="102">
        <f>80.80808+53.27275-23.07897+0.10925</f>
        <v>111.11111</v>
      </c>
      <c r="H123" s="102">
        <v>105.50604</v>
      </c>
      <c r="I123" s="102">
        <f t="shared" si="3"/>
        <v>94.95543694955437</v>
      </c>
    </row>
    <row r="124" spans="1:9" ht="29.25" customHeight="1" outlineLevel="2" collapsed="1">
      <c r="A124" s="45" t="s">
        <v>255</v>
      </c>
      <c r="B124" s="60" t="s">
        <v>39</v>
      </c>
      <c r="C124" s="60" t="s">
        <v>52</v>
      </c>
      <c r="D124" s="60" t="s">
        <v>143</v>
      </c>
      <c r="E124" s="62">
        <v>0</v>
      </c>
      <c r="F124" s="63">
        <v>500</v>
      </c>
      <c r="G124" s="102">
        <f>1800+3615+2284.81828-10.81828</f>
        <v>7688.999999999999</v>
      </c>
      <c r="H124" s="102">
        <v>7684.97216</v>
      </c>
      <c r="I124" s="102">
        <f t="shared" si="3"/>
        <v>99.94761555468853</v>
      </c>
    </row>
    <row r="125" spans="1:9" ht="1.5" customHeight="1" hidden="1" outlineLevel="3">
      <c r="A125" s="45" t="s">
        <v>260</v>
      </c>
      <c r="B125" s="60" t="s">
        <v>39</v>
      </c>
      <c r="C125" s="60" t="s">
        <v>52</v>
      </c>
      <c r="D125" s="60" t="s">
        <v>12</v>
      </c>
      <c r="E125" s="62">
        <v>0</v>
      </c>
      <c r="F125" s="61"/>
      <c r="G125" s="102">
        <f>SUM(G126)</f>
        <v>0</v>
      </c>
      <c r="H125" s="102">
        <f>SUM(H126)</f>
        <v>0</v>
      </c>
      <c r="I125" s="102" t="e">
        <f t="shared" si="3"/>
        <v>#DIV/0!</v>
      </c>
    </row>
    <row r="126" spans="1:9" ht="24" hidden="1" outlineLevel="3">
      <c r="A126" s="45" t="s">
        <v>150</v>
      </c>
      <c r="B126" s="60" t="s">
        <v>39</v>
      </c>
      <c r="C126" s="60" t="s">
        <v>52</v>
      </c>
      <c r="D126" s="60" t="s">
        <v>12</v>
      </c>
      <c r="E126" s="62">
        <v>0</v>
      </c>
      <c r="F126" s="61">
        <v>600</v>
      </c>
      <c r="G126" s="102">
        <v>0</v>
      </c>
      <c r="H126" s="102">
        <v>0</v>
      </c>
      <c r="I126" s="102" t="e">
        <f t="shared" si="3"/>
        <v>#DIV/0!</v>
      </c>
    </row>
    <row r="127" spans="1:9" ht="15.75" outlineLevel="3">
      <c r="A127" s="45" t="s">
        <v>117</v>
      </c>
      <c r="B127" s="60" t="s">
        <v>39</v>
      </c>
      <c r="C127" s="60" t="s">
        <v>53</v>
      </c>
      <c r="D127" s="60"/>
      <c r="E127" s="62"/>
      <c r="F127" s="61"/>
      <c r="G127" s="102">
        <f>SUM(G128+G132)</f>
        <v>1241.4362</v>
      </c>
      <c r="H127" s="102">
        <f>SUM(H128+H132)</f>
        <v>1178.9362</v>
      </c>
      <c r="I127" s="102">
        <f t="shared" si="3"/>
        <v>94.96550849733558</v>
      </c>
    </row>
    <row r="128" spans="1:9" ht="34.5" customHeight="1" outlineLevel="3">
      <c r="A128" s="45" t="s">
        <v>235</v>
      </c>
      <c r="B128" s="60" t="s">
        <v>39</v>
      </c>
      <c r="C128" s="60" t="s">
        <v>53</v>
      </c>
      <c r="D128" s="60" t="s">
        <v>13</v>
      </c>
      <c r="E128" s="62">
        <v>0</v>
      </c>
      <c r="F128" s="61"/>
      <c r="G128" s="102">
        <f>SUM(G129:G131)</f>
        <v>50</v>
      </c>
      <c r="H128" s="102">
        <f>SUM(H129:H131)</f>
        <v>50</v>
      </c>
      <c r="I128" s="102">
        <f t="shared" si="3"/>
        <v>100</v>
      </c>
    </row>
    <row r="129" spans="1:9" ht="24" hidden="1" outlineLevel="3">
      <c r="A129" s="45" t="s">
        <v>98</v>
      </c>
      <c r="B129" s="60" t="s">
        <v>39</v>
      </c>
      <c r="C129" s="60" t="s">
        <v>53</v>
      </c>
      <c r="D129" s="60" t="s">
        <v>13</v>
      </c>
      <c r="E129" s="62">
        <v>0</v>
      </c>
      <c r="F129" s="61">
        <v>200</v>
      </c>
      <c r="G129" s="102">
        <v>0</v>
      </c>
      <c r="H129" s="102">
        <v>0</v>
      </c>
      <c r="I129" s="102" t="e">
        <f t="shared" si="3"/>
        <v>#DIV/0!</v>
      </c>
    </row>
    <row r="130" spans="1:9" ht="16.5" customHeight="1" hidden="1" outlineLevel="3">
      <c r="A130" s="45" t="s">
        <v>151</v>
      </c>
      <c r="B130" s="60" t="s">
        <v>39</v>
      </c>
      <c r="C130" s="60" t="s">
        <v>53</v>
      </c>
      <c r="D130" s="60" t="s">
        <v>13</v>
      </c>
      <c r="E130" s="62">
        <v>0</v>
      </c>
      <c r="F130" s="61">
        <v>300</v>
      </c>
      <c r="G130" s="102">
        <v>0</v>
      </c>
      <c r="H130" s="102">
        <v>0</v>
      </c>
      <c r="I130" s="102" t="e">
        <f t="shared" si="3"/>
        <v>#DIV/0!</v>
      </c>
    </row>
    <row r="131" spans="1:9" ht="15.75" outlineLevel="3">
      <c r="A131" s="45" t="s">
        <v>138</v>
      </c>
      <c r="B131" s="60" t="s">
        <v>39</v>
      </c>
      <c r="C131" s="60" t="s">
        <v>53</v>
      </c>
      <c r="D131" s="60" t="s">
        <v>13</v>
      </c>
      <c r="E131" s="62">
        <v>0</v>
      </c>
      <c r="F131" s="61">
        <v>800</v>
      </c>
      <c r="G131" s="102">
        <f>100-50</f>
        <v>50</v>
      </c>
      <c r="H131" s="102">
        <f>100-50</f>
        <v>50</v>
      </c>
      <c r="I131" s="102">
        <f t="shared" si="3"/>
        <v>100</v>
      </c>
    </row>
    <row r="132" spans="1:9" ht="27.75" customHeight="1" outlineLevel="3">
      <c r="A132" s="45" t="s">
        <v>305</v>
      </c>
      <c r="B132" s="60" t="s">
        <v>39</v>
      </c>
      <c r="C132" s="60" t="s">
        <v>53</v>
      </c>
      <c r="D132" s="60" t="s">
        <v>250</v>
      </c>
      <c r="E132" s="62">
        <v>0</v>
      </c>
      <c r="F132" s="61"/>
      <c r="G132" s="102">
        <f>SUM(G133:G135)</f>
        <v>1191.4362</v>
      </c>
      <c r="H132" s="102">
        <f>SUM(H133:H135)</f>
        <v>1128.9362</v>
      </c>
      <c r="I132" s="102">
        <f t="shared" si="3"/>
        <v>94.75423023070812</v>
      </c>
    </row>
    <row r="133" spans="1:9" ht="24" outlineLevel="3">
      <c r="A133" s="45" t="s">
        <v>98</v>
      </c>
      <c r="B133" s="60" t="s">
        <v>39</v>
      </c>
      <c r="C133" s="60" t="s">
        <v>53</v>
      </c>
      <c r="D133" s="60" t="s">
        <v>250</v>
      </c>
      <c r="E133" s="62">
        <v>0</v>
      </c>
      <c r="F133" s="61">
        <v>200</v>
      </c>
      <c r="G133" s="102">
        <f>400+90-220+70+220-188.162</f>
        <v>371.83799999999997</v>
      </c>
      <c r="H133" s="102">
        <v>309.338</v>
      </c>
      <c r="I133" s="102">
        <f t="shared" si="3"/>
        <v>83.19160494624003</v>
      </c>
    </row>
    <row r="134" spans="1:9" ht="15.75" outlineLevel="3">
      <c r="A134" s="45" t="s">
        <v>152</v>
      </c>
      <c r="B134" s="60" t="s">
        <v>39</v>
      </c>
      <c r="C134" s="60" t="s">
        <v>53</v>
      </c>
      <c r="D134" s="60" t="s">
        <v>250</v>
      </c>
      <c r="E134" s="62">
        <v>0</v>
      </c>
      <c r="F134" s="61">
        <v>500</v>
      </c>
      <c r="G134" s="102">
        <v>220</v>
      </c>
      <c r="H134" s="102">
        <v>220</v>
      </c>
      <c r="I134" s="102">
        <f t="shared" si="3"/>
        <v>100</v>
      </c>
    </row>
    <row r="135" spans="1:9" ht="18" customHeight="1" outlineLevel="1">
      <c r="A135" s="45" t="s">
        <v>325</v>
      </c>
      <c r="B135" s="60" t="s">
        <v>39</v>
      </c>
      <c r="C135" s="60" t="s">
        <v>53</v>
      </c>
      <c r="D135" s="60" t="s">
        <v>250</v>
      </c>
      <c r="E135" s="62">
        <v>0</v>
      </c>
      <c r="F135" s="61"/>
      <c r="G135" s="102">
        <f>SUM(G136:G137)</f>
        <v>599.5982</v>
      </c>
      <c r="H135" s="102">
        <f>SUM(H136:H137)</f>
        <v>599.5982</v>
      </c>
      <c r="I135" s="102">
        <f t="shared" si="3"/>
        <v>100</v>
      </c>
    </row>
    <row r="136" spans="1:9" ht="36" customHeight="1" outlineLevel="1">
      <c r="A136" s="45" t="s">
        <v>340</v>
      </c>
      <c r="B136" s="60" t="s">
        <v>39</v>
      </c>
      <c r="C136" s="60" t="s">
        <v>53</v>
      </c>
      <c r="D136" s="60" t="s">
        <v>250</v>
      </c>
      <c r="E136" s="62">
        <v>0</v>
      </c>
      <c r="F136" s="61">
        <v>200</v>
      </c>
      <c r="G136" s="102">
        <f>539.63838</f>
        <v>539.63838</v>
      </c>
      <c r="H136" s="102">
        <f>539.63838</f>
        <v>539.63838</v>
      </c>
      <c r="I136" s="102">
        <f t="shared" si="3"/>
        <v>100</v>
      </c>
    </row>
    <row r="137" spans="1:9" ht="24" outlineLevel="1">
      <c r="A137" s="45" t="s">
        <v>322</v>
      </c>
      <c r="B137" s="60" t="s">
        <v>39</v>
      </c>
      <c r="C137" s="60" t="s">
        <v>53</v>
      </c>
      <c r="D137" s="60" t="s">
        <v>250</v>
      </c>
      <c r="E137" s="62">
        <v>0</v>
      </c>
      <c r="F137" s="61">
        <v>200</v>
      </c>
      <c r="G137" s="102">
        <v>59.95982</v>
      </c>
      <c r="H137" s="102">
        <v>59.95982</v>
      </c>
      <c r="I137" s="102">
        <f t="shared" si="3"/>
        <v>100</v>
      </c>
    </row>
    <row r="138" spans="1:9" ht="13.5" customHeight="1" outlineLevel="1">
      <c r="A138" s="45" t="s">
        <v>55</v>
      </c>
      <c r="B138" s="60" t="s">
        <v>39</v>
      </c>
      <c r="C138" s="60" t="s">
        <v>56</v>
      </c>
      <c r="D138" s="60"/>
      <c r="E138" s="62"/>
      <c r="F138" s="61"/>
      <c r="G138" s="102">
        <f>SUM(G139+G152)</f>
        <v>26921.575240000002</v>
      </c>
      <c r="H138" s="102">
        <f>SUM(H139+H152)</f>
        <v>11921.57524</v>
      </c>
      <c r="I138" s="102">
        <f t="shared" si="3"/>
        <v>44.28260654780318</v>
      </c>
    </row>
    <row r="139" spans="1:9" ht="15.75" outlineLevel="1">
      <c r="A139" s="45" t="s">
        <v>54</v>
      </c>
      <c r="B139" s="60" t="s">
        <v>39</v>
      </c>
      <c r="C139" s="60" t="s">
        <v>57</v>
      </c>
      <c r="D139" s="60"/>
      <c r="E139" s="62"/>
      <c r="F139" s="61"/>
      <c r="G139" s="102">
        <f>SUM(G140+G149+G147)</f>
        <v>19896.17524</v>
      </c>
      <c r="H139" s="102">
        <f>SUM(H140+H149+H147)</f>
        <v>4896.17524</v>
      </c>
      <c r="I139" s="102">
        <f aca="true" t="shared" si="6" ref="I139:I202">SUM(H139/G139)*100</f>
        <v>24.608625431467598</v>
      </c>
    </row>
    <row r="140" spans="1:9" ht="36" outlineLevel="1">
      <c r="A140" s="45" t="s">
        <v>306</v>
      </c>
      <c r="B140" s="60" t="s">
        <v>39</v>
      </c>
      <c r="C140" s="60" t="s">
        <v>57</v>
      </c>
      <c r="D140" s="60" t="s">
        <v>6</v>
      </c>
      <c r="E140" s="62">
        <v>0</v>
      </c>
      <c r="F140" s="61"/>
      <c r="G140" s="102">
        <f>SUM(G141+G145)</f>
        <v>15600</v>
      </c>
      <c r="H140" s="102">
        <f>SUM(H141+H145)</f>
        <v>600</v>
      </c>
      <c r="I140" s="102">
        <f t="shared" si="6"/>
        <v>3.8461538461538463</v>
      </c>
    </row>
    <row r="141" spans="1:9" ht="35.25" customHeight="1" outlineLevel="2" collapsed="1">
      <c r="A141" s="45" t="s">
        <v>178</v>
      </c>
      <c r="B141" s="60" t="s">
        <v>39</v>
      </c>
      <c r="C141" s="60" t="s">
        <v>57</v>
      </c>
      <c r="D141" s="60" t="s">
        <v>6</v>
      </c>
      <c r="E141" s="62">
        <v>1</v>
      </c>
      <c r="F141" s="61"/>
      <c r="G141" s="102">
        <f>SUM(G142:G144)</f>
        <v>600</v>
      </c>
      <c r="H141" s="102">
        <f>SUM(H142:H144)</f>
        <v>600</v>
      </c>
      <c r="I141" s="102">
        <f t="shared" si="6"/>
        <v>100</v>
      </c>
    </row>
    <row r="142" spans="1:9" ht="28.5" customHeight="1" hidden="1" outlineLevel="5">
      <c r="A142" s="45" t="s">
        <v>98</v>
      </c>
      <c r="B142" s="60" t="s">
        <v>39</v>
      </c>
      <c r="C142" s="60" t="s">
        <v>57</v>
      </c>
      <c r="D142" s="60" t="s">
        <v>6</v>
      </c>
      <c r="E142" s="62">
        <v>1</v>
      </c>
      <c r="F142" s="61">
        <v>200</v>
      </c>
      <c r="G142" s="102">
        <v>0</v>
      </c>
      <c r="H142" s="102">
        <v>0</v>
      </c>
      <c r="I142" s="102" t="e">
        <f t="shared" si="6"/>
        <v>#DIV/0!</v>
      </c>
    </row>
    <row r="143" spans="1:9" ht="1.5" customHeight="1" hidden="1" outlineLevel="5">
      <c r="A143" s="45" t="s">
        <v>297</v>
      </c>
      <c r="B143" s="60" t="s">
        <v>39</v>
      </c>
      <c r="C143" s="60" t="s">
        <v>57</v>
      </c>
      <c r="D143" s="60" t="s">
        <v>6</v>
      </c>
      <c r="E143" s="62">
        <v>1</v>
      </c>
      <c r="F143" s="61">
        <v>500</v>
      </c>
      <c r="G143" s="102">
        <v>0</v>
      </c>
      <c r="H143" s="102">
        <v>0</v>
      </c>
      <c r="I143" s="102" t="e">
        <f t="shared" si="6"/>
        <v>#DIV/0!</v>
      </c>
    </row>
    <row r="144" spans="1:9" ht="13.5" customHeight="1" outlineLevel="2">
      <c r="A144" s="45" t="s">
        <v>152</v>
      </c>
      <c r="B144" s="60" t="s">
        <v>39</v>
      </c>
      <c r="C144" s="60" t="s">
        <v>57</v>
      </c>
      <c r="D144" s="60" t="s">
        <v>6</v>
      </c>
      <c r="E144" s="62">
        <v>1</v>
      </c>
      <c r="F144" s="61">
        <v>500</v>
      </c>
      <c r="G144" s="102">
        <f>1700-1700+600</f>
        <v>600</v>
      </c>
      <c r="H144" s="102">
        <f>1700-1700+600</f>
        <v>600</v>
      </c>
      <c r="I144" s="102">
        <f t="shared" si="6"/>
        <v>100</v>
      </c>
    </row>
    <row r="145" spans="1:9" ht="36" outlineLevel="2">
      <c r="A145" s="45" t="s">
        <v>196</v>
      </c>
      <c r="B145" s="60" t="s">
        <v>39</v>
      </c>
      <c r="C145" s="60" t="s">
        <v>57</v>
      </c>
      <c r="D145" s="60" t="s">
        <v>6</v>
      </c>
      <c r="E145" s="62">
        <v>3</v>
      </c>
      <c r="F145" s="61"/>
      <c r="G145" s="102">
        <f>SUM(G146)</f>
        <v>15000</v>
      </c>
      <c r="H145" s="102">
        <f>SUM(H146)</f>
        <v>0</v>
      </c>
      <c r="I145" s="102">
        <f t="shared" si="6"/>
        <v>0</v>
      </c>
    </row>
    <row r="146" spans="1:9" ht="24" outlineLevel="2">
      <c r="A146" s="45" t="s">
        <v>153</v>
      </c>
      <c r="B146" s="60" t="s">
        <v>39</v>
      </c>
      <c r="C146" s="60" t="s">
        <v>57</v>
      </c>
      <c r="D146" s="60" t="s">
        <v>6</v>
      </c>
      <c r="E146" s="62">
        <v>3</v>
      </c>
      <c r="F146" s="61">
        <v>400</v>
      </c>
      <c r="G146" s="102">
        <f>10000+5000</f>
        <v>15000</v>
      </c>
      <c r="H146" s="102">
        <v>0</v>
      </c>
      <c r="I146" s="102">
        <f t="shared" si="6"/>
        <v>0</v>
      </c>
    </row>
    <row r="147" spans="1:9" ht="48" outlineLevel="5">
      <c r="A147" s="45" t="s">
        <v>311</v>
      </c>
      <c r="B147" s="60" t="s">
        <v>39</v>
      </c>
      <c r="C147" s="60" t="s">
        <v>57</v>
      </c>
      <c r="D147" s="60" t="s">
        <v>14</v>
      </c>
      <c r="E147" s="62">
        <v>0</v>
      </c>
      <c r="F147" s="61"/>
      <c r="G147" s="102">
        <f>SUM(G148)</f>
        <v>3720.74621</v>
      </c>
      <c r="H147" s="102">
        <f>SUM(H148)</f>
        <v>3720.74621</v>
      </c>
      <c r="I147" s="102">
        <f t="shared" si="6"/>
        <v>100</v>
      </c>
    </row>
    <row r="148" spans="1:9" ht="24" outlineLevel="5">
      <c r="A148" s="45" t="s">
        <v>150</v>
      </c>
      <c r="B148" s="60" t="s">
        <v>39</v>
      </c>
      <c r="C148" s="60" t="s">
        <v>57</v>
      </c>
      <c r="D148" s="60" t="s">
        <v>14</v>
      </c>
      <c r="E148" s="62">
        <v>0</v>
      </c>
      <c r="F148" s="61">
        <v>600</v>
      </c>
      <c r="G148" s="102">
        <f>3500+200+20.74621</f>
        <v>3720.74621</v>
      </c>
      <c r="H148" s="102">
        <f>3500+200+20.74621</f>
        <v>3720.74621</v>
      </c>
      <c r="I148" s="102">
        <f t="shared" si="6"/>
        <v>100</v>
      </c>
    </row>
    <row r="149" spans="1:9" ht="49.5" customHeight="1" outlineLevel="5">
      <c r="A149" s="45" t="s">
        <v>231</v>
      </c>
      <c r="B149" s="60" t="s">
        <v>39</v>
      </c>
      <c r="C149" s="60" t="s">
        <v>57</v>
      </c>
      <c r="D149" s="60"/>
      <c r="E149" s="62"/>
      <c r="F149" s="61"/>
      <c r="G149" s="102">
        <f>SUM(G150)</f>
        <v>575.42903</v>
      </c>
      <c r="H149" s="102">
        <f>SUM(H150)</f>
        <v>575.42903</v>
      </c>
      <c r="I149" s="102">
        <f t="shared" si="6"/>
        <v>100</v>
      </c>
    </row>
    <row r="150" spans="1:9" ht="24" outlineLevel="5">
      <c r="A150" s="45" t="s">
        <v>149</v>
      </c>
      <c r="B150" s="60" t="s">
        <v>39</v>
      </c>
      <c r="C150" s="60" t="s">
        <v>57</v>
      </c>
      <c r="D150" s="60" t="s">
        <v>16</v>
      </c>
      <c r="E150" s="62">
        <v>0</v>
      </c>
      <c r="F150" s="61"/>
      <c r="G150" s="102">
        <f>SUM(G151)</f>
        <v>575.42903</v>
      </c>
      <c r="H150" s="102">
        <f>SUM(H151)</f>
        <v>575.42903</v>
      </c>
      <c r="I150" s="102">
        <f t="shared" si="6"/>
        <v>100</v>
      </c>
    </row>
    <row r="151" spans="1:9" ht="15.75" outlineLevel="5">
      <c r="A151" s="45" t="s">
        <v>138</v>
      </c>
      <c r="B151" s="60" t="s">
        <v>39</v>
      </c>
      <c r="C151" s="60" t="s">
        <v>57</v>
      </c>
      <c r="D151" s="60" t="s">
        <v>16</v>
      </c>
      <c r="E151" s="62">
        <v>0</v>
      </c>
      <c r="F151" s="61">
        <v>800</v>
      </c>
      <c r="G151" s="102">
        <f>120.6+308.5-15.9-115.5+277.72903</f>
        <v>575.42903</v>
      </c>
      <c r="H151" s="102">
        <f>120.6+308.5-15.9-115.5+277.72903</f>
        <v>575.42903</v>
      </c>
      <c r="I151" s="102">
        <f t="shared" si="6"/>
        <v>100</v>
      </c>
    </row>
    <row r="152" spans="1:9" ht="15.75" outlineLevel="5">
      <c r="A152" s="45" t="s">
        <v>129</v>
      </c>
      <c r="B152" s="60" t="s">
        <v>39</v>
      </c>
      <c r="C152" s="60" t="s">
        <v>128</v>
      </c>
      <c r="D152" s="60"/>
      <c r="E152" s="62"/>
      <c r="F152" s="61"/>
      <c r="G152" s="102">
        <f>SUM(G153+G156)</f>
        <v>7025.400000000001</v>
      </c>
      <c r="H152" s="102">
        <f>SUM(H153+H156)</f>
        <v>7025.400000000001</v>
      </c>
      <c r="I152" s="102">
        <f t="shared" si="6"/>
        <v>100</v>
      </c>
    </row>
    <row r="153" spans="1:9" ht="24" outlineLevel="5">
      <c r="A153" s="45" t="s">
        <v>149</v>
      </c>
      <c r="B153" s="60" t="s">
        <v>39</v>
      </c>
      <c r="C153" s="60" t="s">
        <v>128</v>
      </c>
      <c r="D153" s="60" t="s">
        <v>16</v>
      </c>
      <c r="E153" s="62">
        <v>0</v>
      </c>
      <c r="F153" s="61"/>
      <c r="G153" s="102">
        <f>SUM(G154:G155)</f>
        <v>4511.3</v>
      </c>
      <c r="H153" s="102">
        <f>SUM(H154:H155)</f>
        <v>4511.3</v>
      </c>
      <c r="I153" s="102">
        <f t="shared" si="6"/>
        <v>100</v>
      </c>
    </row>
    <row r="154" spans="1:9" ht="35.25" customHeight="1" outlineLevel="5">
      <c r="A154" s="45" t="s">
        <v>317</v>
      </c>
      <c r="B154" s="60" t="s">
        <v>39</v>
      </c>
      <c r="C154" s="60" t="s">
        <v>128</v>
      </c>
      <c r="D154" s="60" t="s">
        <v>16</v>
      </c>
      <c r="E154" s="62">
        <v>0</v>
      </c>
      <c r="F154" s="61">
        <v>500</v>
      </c>
      <c r="G154" s="102">
        <v>4511.3</v>
      </c>
      <c r="H154" s="102">
        <v>4511.3</v>
      </c>
      <c r="I154" s="102">
        <f t="shared" si="6"/>
        <v>100</v>
      </c>
    </row>
    <row r="155" spans="1:9" ht="26.25" customHeight="1" hidden="1" outlineLevel="5">
      <c r="A155" s="45" t="s">
        <v>334</v>
      </c>
      <c r="B155" s="60" t="s">
        <v>39</v>
      </c>
      <c r="C155" s="60" t="s">
        <v>128</v>
      </c>
      <c r="D155" s="60" t="s">
        <v>16</v>
      </c>
      <c r="E155" s="62">
        <v>0</v>
      </c>
      <c r="F155" s="61">
        <v>200</v>
      </c>
      <c r="G155" s="102">
        <f>500-500</f>
        <v>0</v>
      </c>
      <c r="H155" s="102">
        <f>500-500</f>
        <v>0</v>
      </c>
      <c r="I155" s="102" t="e">
        <f t="shared" si="6"/>
        <v>#DIV/0!</v>
      </c>
    </row>
    <row r="156" spans="1:9" ht="24" outlineLevel="5">
      <c r="A156" s="45" t="s">
        <v>260</v>
      </c>
      <c r="B156" s="60" t="s">
        <v>39</v>
      </c>
      <c r="C156" s="60" t="s">
        <v>128</v>
      </c>
      <c r="D156" s="60" t="s">
        <v>12</v>
      </c>
      <c r="E156" s="62">
        <v>0</v>
      </c>
      <c r="F156" s="61"/>
      <c r="G156" s="102">
        <f>SUM(G157:G157)</f>
        <v>2514.1000000000004</v>
      </c>
      <c r="H156" s="102">
        <f>SUM(H157:H157)</f>
        <v>2514.1000000000004</v>
      </c>
      <c r="I156" s="102">
        <f t="shared" si="6"/>
        <v>100</v>
      </c>
    </row>
    <row r="157" spans="1:9" ht="24" outlineLevel="5">
      <c r="A157" s="45" t="s">
        <v>150</v>
      </c>
      <c r="B157" s="60" t="s">
        <v>39</v>
      </c>
      <c r="C157" s="60" t="s">
        <v>128</v>
      </c>
      <c r="D157" s="60" t="s">
        <v>12</v>
      </c>
      <c r="E157" s="62">
        <v>0</v>
      </c>
      <c r="F157" s="61">
        <v>600</v>
      </c>
      <c r="G157" s="102">
        <f>1999.9+514.2</f>
        <v>2514.1000000000004</v>
      </c>
      <c r="H157" s="102">
        <f>1999.9+514.2</f>
        <v>2514.1000000000004</v>
      </c>
      <c r="I157" s="102">
        <f t="shared" si="6"/>
        <v>100</v>
      </c>
    </row>
    <row r="158" spans="1:9" ht="15.75" outlineLevel="5">
      <c r="A158" s="45" t="s">
        <v>58</v>
      </c>
      <c r="B158" s="60" t="s">
        <v>39</v>
      </c>
      <c r="C158" s="60" t="s">
        <v>111</v>
      </c>
      <c r="D158" s="60"/>
      <c r="E158" s="62"/>
      <c r="F158" s="61"/>
      <c r="G158" s="102">
        <f>SUM(G159)</f>
        <v>0</v>
      </c>
      <c r="H158" s="102">
        <f>SUM(H159)</f>
        <v>0</v>
      </c>
      <c r="I158" s="102">
        <v>0</v>
      </c>
    </row>
    <row r="159" spans="1:9" ht="27" customHeight="1" outlineLevel="5">
      <c r="A159" s="45" t="s">
        <v>232</v>
      </c>
      <c r="B159" s="60" t="s">
        <v>39</v>
      </c>
      <c r="C159" s="60" t="s">
        <v>60</v>
      </c>
      <c r="D159" s="60" t="s">
        <v>15</v>
      </c>
      <c r="E159" s="62">
        <v>0</v>
      </c>
      <c r="F159" s="61"/>
      <c r="G159" s="102">
        <f>SUM(G160:G161)</f>
        <v>0</v>
      </c>
      <c r="H159" s="102">
        <f>SUM(H160:H161)</f>
        <v>0</v>
      </c>
      <c r="I159" s="102">
        <v>0</v>
      </c>
    </row>
    <row r="160" spans="1:9" ht="24.75" customHeight="1" outlineLevel="5">
      <c r="A160" s="45" t="s">
        <v>98</v>
      </c>
      <c r="B160" s="60" t="s">
        <v>39</v>
      </c>
      <c r="C160" s="60" t="s">
        <v>60</v>
      </c>
      <c r="D160" s="60" t="s">
        <v>15</v>
      </c>
      <c r="E160" s="62">
        <v>0</v>
      </c>
      <c r="F160" s="61">
        <v>200</v>
      </c>
      <c r="G160" s="102">
        <f>50-30-20</f>
        <v>0</v>
      </c>
      <c r="H160" s="102">
        <f>50-30-20</f>
        <v>0</v>
      </c>
      <c r="I160" s="102">
        <v>0</v>
      </c>
    </row>
    <row r="161" spans="1:9" ht="0.75" customHeight="1" hidden="1" outlineLevel="5">
      <c r="A161" s="45" t="s">
        <v>150</v>
      </c>
      <c r="B161" s="60" t="s">
        <v>39</v>
      </c>
      <c r="C161" s="60" t="s">
        <v>60</v>
      </c>
      <c r="D161" s="60" t="s">
        <v>15</v>
      </c>
      <c r="E161" s="62">
        <v>0</v>
      </c>
      <c r="F161" s="61">
        <v>600</v>
      </c>
      <c r="G161" s="102">
        <v>0</v>
      </c>
      <c r="H161" s="102">
        <v>0</v>
      </c>
      <c r="I161" s="102" t="e">
        <f t="shared" si="6"/>
        <v>#DIV/0!</v>
      </c>
    </row>
    <row r="162" spans="1:9" ht="18.75" customHeight="1" outlineLevel="5">
      <c r="A162" s="45" t="s">
        <v>61</v>
      </c>
      <c r="B162" s="60" t="s">
        <v>39</v>
      </c>
      <c r="C162" s="60" t="s">
        <v>64</v>
      </c>
      <c r="D162" s="60"/>
      <c r="E162" s="62"/>
      <c r="F162" s="61"/>
      <c r="G162" s="102">
        <f>SUM(G163+G186+G235+G248+G226)</f>
        <v>296949.49645000004</v>
      </c>
      <c r="H162" s="102">
        <f>SUM(H163+H186+H235+H248+H226)</f>
        <v>274838.9477</v>
      </c>
      <c r="I162" s="102">
        <f t="shared" si="6"/>
        <v>92.55410464933287</v>
      </c>
    </row>
    <row r="163" spans="1:9" ht="19.5" customHeight="1" outlineLevel="1">
      <c r="A163" s="45" t="s">
        <v>62</v>
      </c>
      <c r="B163" s="60" t="s">
        <v>39</v>
      </c>
      <c r="C163" s="60" t="s">
        <v>63</v>
      </c>
      <c r="D163" s="60"/>
      <c r="E163" s="62"/>
      <c r="F163" s="61"/>
      <c r="G163" s="102">
        <f>SUM(G164+G172+G170+G178+G183)</f>
        <v>41574.66481999999</v>
      </c>
      <c r="H163" s="102">
        <f>SUM(H164+H172+H170+H178+H183)</f>
        <v>39611.592619999996</v>
      </c>
      <c r="I163" s="102">
        <f t="shared" si="6"/>
        <v>95.27820077804779</v>
      </c>
    </row>
    <row r="164" spans="1:9" ht="24" customHeight="1" outlineLevel="2" collapsed="1">
      <c r="A164" s="45" t="s">
        <v>306</v>
      </c>
      <c r="B164" s="60" t="s">
        <v>39</v>
      </c>
      <c r="C164" s="60" t="s">
        <v>63</v>
      </c>
      <c r="D164" s="60" t="s">
        <v>6</v>
      </c>
      <c r="E164" s="62">
        <v>0</v>
      </c>
      <c r="F164" s="61"/>
      <c r="G164" s="102">
        <f>SUM(G165+G168)</f>
        <v>277.50926999999996</v>
      </c>
      <c r="H164" s="102">
        <f>SUM(H165+H168)</f>
        <v>277.50926999999996</v>
      </c>
      <c r="I164" s="102">
        <f t="shared" si="6"/>
        <v>100</v>
      </c>
    </row>
    <row r="165" spans="1:9" ht="32.25" customHeight="1" hidden="1" outlineLevel="3">
      <c r="A165" s="45" t="s">
        <v>196</v>
      </c>
      <c r="B165" s="60" t="s">
        <v>39</v>
      </c>
      <c r="C165" s="60" t="s">
        <v>63</v>
      </c>
      <c r="D165" s="60" t="s">
        <v>6</v>
      </c>
      <c r="E165" s="62">
        <v>3</v>
      </c>
      <c r="F165" s="61"/>
      <c r="G165" s="102">
        <f>SUM(G166:G167)</f>
        <v>0</v>
      </c>
      <c r="H165" s="102">
        <f>SUM(H166:H167)</f>
        <v>0</v>
      </c>
      <c r="I165" s="102" t="e">
        <f t="shared" si="6"/>
        <v>#DIV/0!</v>
      </c>
    </row>
    <row r="166" spans="1:9" ht="30" customHeight="1" hidden="1" outlineLevel="3">
      <c r="A166" s="45" t="s">
        <v>153</v>
      </c>
      <c r="B166" s="60" t="s">
        <v>39</v>
      </c>
      <c r="C166" s="60" t="s">
        <v>63</v>
      </c>
      <c r="D166" s="60" t="s">
        <v>6</v>
      </c>
      <c r="E166" s="62">
        <v>3</v>
      </c>
      <c r="F166" s="61">
        <v>400</v>
      </c>
      <c r="G166" s="102">
        <v>0</v>
      </c>
      <c r="H166" s="102">
        <v>0</v>
      </c>
      <c r="I166" s="102" t="e">
        <f t="shared" si="6"/>
        <v>#DIV/0!</v>
      </c>
    </row>
    <row r="167" spans="1:9" ht="24" hidden="1">
      <c r="A167" s="45" t="s">
        <v>150</v>
      </c>
      <c r="B167" s="60" t="s">
        <v>39</v>
      </c>
      <c r="C167" s="60" t="s">
        <v>63</v>
      </c>
      <c r="D167" s="60" t="s">
        <v>6</v>
      </c>
      <c r="E167" s="62">
        <v>3</v>
      </c>
      <c r="F167" s="61">
        <v>600</v>
      </c>
      <c r="G167" s="102">
        <v>0</v>
      </c>
      <c r="H167" s="102">
        <v>0</v>
      </c>
      <c r="I167" s="102" t="e">
        <f t="shared" si="6"/>
        <v>#DIV/0!</v>
      </c>
    </row>
    <row r="168" spans="1:9" ht="27" customHeight="1">
      <c r="A168" s="45" t="s">
        <v>179</v>
      </c>
      <c r="B168" s="60" t="s">
        <v>39</v>
      </c>
      <c r="C168" s="60" t="s">
        <v>63</v>
      </c>
      <c r="D168" s="60" t="s">
        <v>6</v>
      </c>
      <c r="E168" s="62">
        <v>4</v>
      </c>
      <c r="F168" s="61"/>
      <c r="G168" s="102">
        <f>SUM(G169:G169)</f>
        <v>277.50926999999996</v>
      </c>
      <c r="H168" s="102">
        <f>SUM(H169:H169)</f>
        <v>277.50926999999996</v>
      </c>
      <c r="I168" s="102">
        <f t="shared" si="6"/>
        <v>100</v>
      </c>
    </row>
    <row r="169" spans="1:9" ht="23.25" customHeight="1">
      <c r="A169" s="45" t="s">
        <v>150</v>
      </c>
      <c r="B169" s="60" t="s">
        <v>39</v>
      </c>
      <c r="C169" s="60" t="s">
        <v>63</v>
      </c>
      <c r="D169" s="60" t="s">
        <v>6</v>
      </c>
      <c r="E169" s="62">
        <v>4</v>
      </c>
      <c r="F169" s="61">
        <v>600</v>
      </c>
      <c r="G169" s="102">
        <f>350-19.18367-47.805-12.459-115+115+6.95694</f>
        <v>277.50926999999996</v>
      </c>
      <c r="H169" s="102">
        <f>350-19.18367-47.805-12.459-115+115+6.95694</f>
        <v>277.50926999999996</v>
      </c>
      <c r="I169" s="102">
        <f t="shared" si="6"/>
        <v>100</v>
      </c>
    </row>
    <row r="170" spans="1:9" ht="75.75" customHeight="1">
      <c r="A170" s="45" t="s">
        <v>326</v>
      </c>
      <c r="B170" s="60" t="s">
        <v>39</v>
      </c>
      <c r="C170" s="60" t="s">
        <v>63</v>
      </c>
      <c r="D170" s="60" t="s">
        <v>197</v>
      </c>
      <c r="E170" s="62">
        <v>0</v>
      </c>
      <c r="F170" s="61"/>
      <c r="G170" s="102">
        <f>SUM(G171:G171)</f>
        <v>128.54496</v>
      </c>
      <c r="H170" s="102">
        <f>SUM(H171:H171)</f>
        <v>128.54496</v>
      </c>
      <c r="I170" s="102">
        <f t="shared" si="6"/>
        <v>100</v>
      </c>
    </row>
    <row r="171" spans="1:9" ht="27" customHeight="1">
      <c r="A171" s="45" t="s">
        <v>150</v>
      </c>
      <c r="B171" s="60" t="s">
        <v>39</v>
      </c>
      <c r="C171" s="60" t="s">
        <v>63</v>
      </c>
      <c r="D171" s="60" t="s">
        <v>197</v>
      </c>
      <c r="E171" s="62">
        <v>0</v>
      </c>
      <c r="F171" s="61">
        <v>600</v>
      </c>
      <c r="G171" s="102">
        <v>128.54496</v>
      </c>
      <c r="H171" s="102">
        <v>128.54496</v>
      </c>
      <c r="I171" s="102">
        <f t="shared" si="6"/>
        <v>100</v>
      </c>
    </row>
    <row r="172" spans="1:9" ht="36" outlineLevel="5">
      <c r="A172" s="45" t="s">
        <v>307</v>
      </c>
      <c r="B172" s="60" t="s">
        <v>39</v>
      </c>
      <c r="C172" s="60" t="s">
        <v>63</v>
      </c>
      <c r="D172" s="60" t="s">
        <v>19</v>
      </c>
      <c r="E172" s="62">
        <v>0</v>
      </c>
      <c r="F172" s="61"/>
      <c r="G172" s="102">
        <f>SUM(G173:G177)</f>
        <v>27425.84045</v>
      </c>
      <c r="H172" s="102">
        <f>SUM(H173:H177)</f>
        <v>26301.248069999998</v>
      </c>
      <c r="I172" s="102">
        <f t="shared" si="6"/>
        <v>95.89951534192636</v>
      </c>
    </row>
    <row r="173" spans="1:9" ht="24" outlineLevel="5">
      <c r="A173" s="45" t="s">
        <v>150</v>
      </c>
      <c r="B173" s="60" t="s">
        <v>39</v>
      </c>
      <c r="C173" s="60" t="s">
        <v>63</v>
      </c>
      <c r="D173" s="60" t="s">
        <v>19</v>
      </c>
      <c r="E173" s="62">
        <v>0</v>
      </c>
      <c r="F173" s="61">
        <v>600</v>
      </c>
      <c r="G173" s="102">
        <f>10500+250+363.09533+310.64788+1026.44568</f>
        <v>12450.188890000001</v>
      </c>
      <c r="H173" s="102">
        <v>11720.19651</v>
      </c>
      <c r="I173" s="102">
        <f t="shared" si="6"/>
        <v>94.13669634694192</v>
      </c>
    </row>
    <row r="174" spans="1:9" ht="33.75" customHeight="1" outlineLevel="5">
      <c r="A174" s="45" t="s">
        <v>142</v>
      </c>
      <c r="B174" s="60" t="s">
        <v>39</v>
      </c>
      <c r="C174" s="60" t="s">
        <v>63</v>
      </c>
      <c r="D174" s="60" t="s">
        <v>19</v>
      </c>
      <c r="E174" s="62">
        <v>0</v>
      </c>
      <c r="F174" s="61">
        <v>600</v>
      </c>
      <c r="G174" s="102">
        <f>16166.1-1259.7+33.5</f>
        <v>14939.9</v>
      </c>
      <c r="H174" s="102">
        <v>14545.3</v>
      </c>
      <c r="I174" s="102">
        <f t="shared" si="6"/>
        <v>97.35875072791652</v>
      </c>
    </row>
    <row r="175" spans="1:9" ht="34.5" customHeight="1" hidden="1" outlineLevel="5">
      <c r="A175" s="45" t="s">
        <v>278</v>
      </c>
      <c r="B175" s="60" t="s">
        <v>39</v>
      </c>
      <c r="C175" s="60" t="s">
        <v>63</v>
      </c>
      <c r="D175" s="60" t="s">
        <v>19</v>
      </c>
      <c r="E175" s="62">
        <v>0</v>
      </c>
      <c r="F175" s="61">
        <v>600</v>
      </c>
      <c r="G175" s="102">
        <v>0</v>
      </c>
      <c r="H175" s="102">
        <v>0</v>
      </c>
      <c r="I175" s="102" t="e">
        <f t="shared" si="6"/>
        <v>#DIV/0!</v>
      </c>
    </row>
    <row r="176" spans="1:9" ht="29.25" customHeight="1" outlineLevel="5">
      <c r="A176" s="45" t="s">
        <v>154</v>
      </c>
      <c r="B176" s="60" t="s">
        <v>39</v>
      </c>
      <c r="C176" s="60" t="s">
        <v>63</v>
      </c>
      <c r="D176" s="60" t="s">
        <v>19</v>
      </c>
      <c r="E176" s="62">
        <v>0</v>
      </c>
      <c r="F176" s="61">
        <v>600</v>
      </c>
      <c r="G176" s="102">
        <f>38.3-22.54844+20</f>
        <v>35.75156</v>
      </c>
      <c r="H176" s="102">
        <f>38.3-22.54844+20</f>
        <v>35.75156</v>
      </c>
      <c r="I176" s="102">
        <f t="shared" si="6"/>
        <v>100</v>
      </c>
    </row>
    <row r="177" spans="1:9" ht="96" hidden="1" outlineLevel="5">
      <c r="A177" s="45" t="s">
        <v>254</v>
      </c>
      <c r="B177" s="60" t="s">
        <v>39</v>
      </c>
      <c r="C177" s="60" t="s">
        <v>63</v>
      </c>
      <c r="D177" s="60" t="s">
        <v>19</v>
      </c>
      <c r="E177" s="62">
        <v>0</v>
      </c>
      <c r="F177" s="61">
        <v>600</v>
      </c>
      <c r="G177" s="102">
        <v>0</v>
      </c>
      <c r="H177" s="102">
        <v>0</v>
      </c>
      <c r="I177" s="102" t="e">
        <f t="shared" si="6"/>
        <v>#DIV/0!</v>
      </c>
    </row>
    <row r="178" spans="1:9" ht="29.25" customHeight="1" outlineLevel="5">
      <c r="A178" s="45" t="s">
        <v>333</v>
      </c>
      <c r="B178" s="60" t="s">
        <v>39</v>
      </c>
      <c r="C178" s="60" t="s">
        <v>63</v>
      </c>
      <c r="D178" s="60" t="s">
        <v>20</v>
      </c>
      <c r="E178" s="62">
        <v>0</v>
      </c>
      <c r="F178" s="99"/>
      <c r="G178" s="103">
        <f>SUM(G179)</f>
        <v>13605.07014</v>
      </c>
      <c r="H178" s="103">
        <f>SUM(H179)</f>
        <v>12766.59032</v>
      </c>
      <c r="I178" s="102">
        <f t="shared" si="6"/>
        <v>93.83700479768345</v>
      </c>
    </row>
    <row r="179" spans="1:9" ht="15.75" outlineLevel="5">
      <c r="A179" s="45" t="s">
        <v>280</v>
      </c>
      <c r="B179" s="60" t="s">
        <v>39</v>
      </c>
      <c r="C179" s="60" t="s">
        <v>63</v>
      </c>
      <c r="D179" s="60" t="s">
        <v>20</v>
      </c>
      <c r="E179" s="62">
        <v>1</v>
      </c>
      <c r="F179" s="99"/>
      <c r="G179" s="103">
        <f>SUM(G180:G182)</f>
        <v>13605.07014</v>
      </c>
      <c r="H179" s="103">
        <f>SUM(H180:H182)</f>
        <v>12766.59032</v>
      </c>
      <c r="I179" s="102">
        <f t="shared" si="6"/>
        <v>93.83700479768345</v>
      </c>
    </row>
    <row r="180" spans="1:9" ht="57.75" customHeight="1" outlineLevel="5">
      <c r="A180" s="45" t="s">
        <v>221</v>
      </c>
      <c r="B180" s="60" t="s">
        <v>39</v>
      </c>
      <c r="C180" s="60" t="s">
        <v>63</v>
      </c>
      <c r="D180" s="60" t="s">
        <v>20</v>
      </c>
      <c r="E180" s="62">
        <v>1</v>
      </c>
      <c r="F180" s="61">
        <v>600</v>
      </c>
      <c r="G180" s="102">
        <f>9176.3+33.7+20.7</f>
        <v>9230.7</v>
      </c>
      <c r="H180" s="102">
        <v>8453.4</v>
      </c>
      <c r="I180" s="102">
        <f t="shared" si="6"/>
        <v>91.57918684390131</v>
      </c>
    </row>
    <row r="181" spans="1:9" ht="0.75" customHeight="1" hidden="1" outlineLevel="5">
      <c r="A181" s="45" t="s">
        <v>278</v>
      </c>
      <c r="B181" s="60" t="s">
        <v>39</v>
      </c>
      <c r="C181" s="60" t="s">
        <v>63</v>
      </c>
      <c r="D181" s="60" t="s">
        <v>20</v>
      </c>
      <c r="E181" s="62">
        <v>1</v>
      </c>
      <c r="F181" s="61">
        <v>600</v>
      </c>
      <c r="G181" s="102">
        <v>0</v>
      </c>
      <c r="H181" s="102">
        <v>0</v>
      </c>
      <c r="I181" s="102" t="e">
        <f t="shared" si="6"/>
        <v>#DIV/0!</v>
      </c>
    </row>
    <row r="182" spans="1:9" ht="24" outlineLevel="5">
      <c r="A182" s="45" t="s">
        <v>150</v>
      </c>
      <c r="B182" s="60" t="s">
        <v>39</v>
      </c>
      <c r="C182" s="60" t="s">
        <v>63</v>
      </c>
      <c r="D182" s="60" t="s">
        <v>20</v>
      </c>
      <c r="E182" s="62">
        <v>1</v>
      </c>
      <c r="F182" s="61">
        <v>600</v>
      </c>
      <c r="G182" s="102">
        <f>3500+300+600+123.62061-154.26849+5.01802</f>
        <v>4374.37014</v>
      </c>
      <c r="H182" s="102">
        <v>4313.19032</v>
      </c>
      <c r="I182" s="102">
        <f t="shared" si="6"/>
        <v>98.6014027610384</v>
      </c>
    </row>
    <row r="183" spans="1:9" ht="24" outlineLevel="5">
      <c r="A183" s="45" t="s">
        <v>149</v>
      </c>
      <c r="B183" s="60" t="s">
        <v>39</v>
      </c>
      <c r="C183" s="60" t="s">
        <v>63</v>
      </c>
      <c r="D183" s="60" t="s">
        <v>16</v>
      </c>
      <c r="E183" s="62">
        <v>0</v>
      </c>
      <c r="F183" s="61"/>
      <c r="G183" s="102">
        <f>SUM(G184)</f>
        <v>137.7</v>
      </c>
      <c r="H183" s="102">
        <f>SUM(H184)</f>
        <v>137.7</v>
      </c>
      <c r="I183" s="102">
        <f t="shared" si="6"/>
        <v>100</v>
      </c>
    </row>
    <row r="184" spans="1:9" ht="15.75" outlineLevel="5">
      <c r="A184" s="45" t="s">
        <v>318</v>
      </c>
      <c r="B184" s="60" t="s">
        <v>39</v>
      </c>
      <c r="C184" s="60" t="s">
        <v>63</v>
      </c>
      <c r="D184" s="60" t="s">
        <v>16</v>
      </c>
      <c r="E184" s="62">
        <v>0</v>
      </c>
      <c r="F184" s="61"/>
      <c r="G184" s="102">
        <f>SUM(G185)</f>
        <v>137.7</v>
      </c>
      <c r="H184" s="102">
        <f>SUM(H185)</f>
        <v>137.7</v>
      </c>
      <c r="I184" s="102">
        <f t="shared" si="6"/>
        <v>100</v>
      </c>
    </row>
    <row r="185" spans="1:9" ht="24" outlineLevel="5">
      <c r="A185" s="45" t="s">
        <v>150</v>
      </c>
      <c r="B185" s="60" t="s">
        <v>39</v>
      </c>
      <c r="C185" s="60" t="s">
        <v>63</v>
      </c>
      <c r="D185" s="60" t="s">
        <v>16</v>
      </c>
      <c r="E185" s="62">
        <v>0</v>
      </c>
      <c r="F185" s="61">
        <v>600</v>
      </c>
      <c r="G185" s="102">
        <f>179-41.3</f>
        <v>137.7</v>
      </c>
      <c r="H185" s="102">
        <f>179-41.3</f>
        <v>137.7</v>
      </c>
      <c r="I185" s="102">
        <f t="shared" si="6"/>
        <v>100</v>
      </c>
    </row>
    <row r="186" spans="1:9" ht="20.25" customHeight="1" outlineLevel="5">
      <c r="A186" s="45" t="s">
        <v>70</v>
      </c>
      <c r="B186" s="60" t="s">
        <v>39</v>
      </c>
      <c r="C186" s="60" t="s">
        <v>65</v>
      </c>
      <c r="D186" s="60"/>
      <c r="E186" s="62"/>
      <c r="F186" s="61"/>
      <c r="G186" s="103">
        <f>SUM(G187)</f>
        <v>231167.89034000004</v>
      </c>
      <c r="H186" s="103">
        <f>SUM(H187)</f>
        <v>211249.78744</v>
      </c>
      <c r="I186" s="102">
        <f t="shared" si="6"/>
        <v>91.38370693667504</v>
      </c>
    </row>
    <row r="187" spans="1:9" ht="23.25" customHeight="1" outlineLevel="5">
      <c r="A187" s="45" t="s">
        <v>66</v>
      </c>
      <c r="B187" s="60" t="s">
        <v>39</v>
      </c>
      <c r="C187" s="60" t="s">
        <v>65</v>
      </c>
      <c r="D187" s="60"/>
      <c r="E187" s="62"/>
      <c r="F187" s="61"/>
      <c r="G187" s="102">
        <f>SUM(G188+G202+G199+G196)</f>
        <v>231167.89034000004</v>
      </c>
      <c r="H187" s="102">
        <f>SUM(H188+H202+H199+H196)</f>
        <v>211249.78744</v>
      </c>
      <c r="I187" s="102">
        <f t="shared" si="6"/>
        <v>91.38370693667504</v>
      </c>
    </row>
    <row r="188" spans="1:9" ht="36" customHeight="1" outlineLevel="5">
      <c r="A188" s="45" t="s">
        <v>306</v>
      </c>
      <c r="B188" s="60" t="s">
        <v>39</v>
      </c>
      <c r="C188" s="60" t="s">
        <v>65</v>
      </c>
      <c r="D188" s="60" t="s">
        <v>6</v>
      </c>
      <c r="E188" s="62">
        <v>0</v>
      </c>
      <c r="F188" s="61"/>
      <c r="G188" s="102">
        <f>SUM(G189+G192)</f>
        <v>9742.59755</v>
      </c>
      <c r="H188" s="102">
        <f>SUM(H189+H192)</f>
        <v>9742.59755</v>
      </c>
      <c r="I188" s="102">
        <f t="shared" si="6"/>
        <v>100</v>
      </c>
    </row>
    <row r="189" spans="1:9" ht="22.5" customHeight="1" outlineLevel="5">
      <c r="A189" s="45" t="s">
        <v>196</v>
      </c>
      <c r="B189" s="60" t="s">
        <v>39</v>
      </c>
      <c r="C189" s="60" t="s">
        <v>65</v>
      </c>
      <c r="D189" s="60" t="s">
        <v>6</v>
      </c>
      <c r="E189" s="62">
        <v>3</v>
      </c>
      <c r="F189" s="61"/>
      <c r="G189" s="102">
        <f>SUM(G190:G191)</f>
        <v>8343.97315</v>
      </c>
      <c r="H189" s="102">
        <f>SUM(H190:H191)</f>
        <v>8343.97315</v>
      </c>
      <c r="I189" s="102">
        <f t="shared" si="6"/>
        <v>100</v>
      </c>
    </row>
    <row r="190" spans="1:9" ht="24" hidden="1" outlineLevel="5">
      <c r="A190" s="45" t="s">
        <v>98</v>
      </c>
      <c r="B190" s="60" t="s">
        <v>39</v>
      </c>
      <c r="C190" s="60" t="s">
        <v>65</v>
      </c>
      <c r="D190" s="60" t="s">
        <v>6</v>
      </c>
      <c r="E190" s="62">
        <v>3</v>
      </c>
      <c r="F190" s="61">
        <v>200</v>
      </c>
      <c r="G190" s="102">
        <v>0</v>
      </c>
      <c r="H190" s="102">
        <v>0</v>
      </c>
      <c r="I190" s="102" t="e">
        <f t="shared" si="6"/>
        <v>#DIV/0!</v>
      </c>
    </row>
    <row r="191" spans="1:9" ht="24" outlineLevel="5">
      <c r="A191" s="45" t="s">
        <v>150</v>
      </c>
      <c r="B191" s="60" t="s">
        <v>39</v>
      </c>
      <c r="C191" s="60" t="s">
        <v>65</v>
      </c>
      <c r="D191" s="60" t="s">
        <v>6</v>
      </c>
      <c r="E191" s="62">
        <v>3</v>
      </c>
      <c r="F191" s="61">
        <v>600</v>
      </c>
      <c r="G191" s="102">
        <f>5000+263.1579+1000+52.63158+420+599+940+19.18367+20.459+29.541</f>
        <v>8343.97315</v>
      </c>
      <c r="H191" s="102">
        <f>5000+263.1579+1000+52.63158+420+599+940+19.18367+20.459+29.541</f>
        <v>8343.97315</v>
      </c>
      <c r="I191" s="102">
        <f t="shared" si="6"/>
        <v>100</v>
      </c>
    </row>
    <row r="192" spans="1:9" ht="27" customHeight="1" outlineLevel="5">
      <c r="A192" s="45" t="s">
        <v>179</v>
      </c>
      <c r="B192" s="60" t="s">
        <v>39</v>
      </c>
      <c r="C192" s="60" t="s">
        <v>65</v>
      </c>
      <c r="D192" s="60" t="s">
        <v>6</v>
      </c>
      <c r="E192" s="62">
        <v>4</v>
      </c>
      <c r="F192" s="61"/>
      <c r="G192" s="102">
        <f>SUM(G193:G195)</f>
        <v>1398.6244</v>
      </c>
      <c r="H192" s="102">
        <f>SUM(H193:H195)</f>
        <v>1398.6244</v>
      </c>
      <c r="I192" s="102">
        <f t="shared" si="6"/>
        <v>100</v>
      </c>
    </row>
    <row r="193" spans="1:9" ht="24" customHeight="1" outlineLevel="5">
      <c r="A193" s="45" t="s">
        <v>98</v>
      </c>
      <c r="B193" s="60" t="s">
        <v>39</v>
      </c>
      <c r="C193" s="60" t="s">
        <v>65</v>
      </c>
      <c r="D193" s="60" t="s">
        <v>6</v>
      </c>
      <c r="E193" s="62">
        <v>4</v>
      </c>
      <c r="F193" s="61">
        <v>200</v>
      </c>
      <c r="G193" s="102">
        <f>40-20-8-2.541</f>
        <v>9.459</v>
      </c>
      <c r="H193" s="102">
        <f>40-20-8-2.541</f>
        <v>9.459</v>
      </c>
      <c r="I193" s="102">
        <f t="shared" si="6"/>
        <v>100</v>
      </c>
    </row>
    <row r="194" spans="1:9" ht="24" customHeight="1" outlineLevel="5">
      <c r="A194" s="45" t="s">
        <v>150</v>
      </c>
      <c r="B194" s="60" t="s">
        <v>39</v>
      </c>
      <c r="C194" s="60" t="s">
        <v>65</v>
      </c>
      <c r="D194" s="60" t="s">
        <v>6</v>
      </c>
      <c r="E194" s="62">
        <v>4</v>
      </c>
      <c r="F194" s="61">
        <v>600</v>
      </c>
      <c r="G194" s="102">
        <f>560-63.4542-80-80.01198</f>
        <v>336.53382</v>
      </c>
      <c r="H194" s="102">
        <f>560-63.4542-80-80.01198</f>
        <v>336.53382</v>
      </c>
      <c r="I194" s="102">
        <f t="shared" si="6"/>
        <v>100</v>
      </c>
    </row>
    <row r="195" spans="1:9" ht="51.75" customHeight="1" outlineLevel="5">
      <c r="A195" s="45" t="s">
        <v>264</v>
      </c>
      <c r="B195" s="60" t="s">
        <v>39</v>
      </c>
      <c r="C195" s="60" t="s">
        <v>65</v>
      </c>
      <c r="D195" s="60" t="s">
        <v>6</v>
      </c>
      <c r="E195" s="62">
        <v>4</v>
      </c>
      <c r="F195" s="61">
        <v>600</v>
      </c>
      <c r="G195" s="102">
        <f>1000+52.63158</f>
        <v>1052.63158</v>
      </c>
      <c r="H195" s="102">
        <f>1000+52.63158</f>
        <v>1052.63158</v>
      </c>
      <c r="I195" s="102">
        <f t="shared" si="6"/>
        <v>100</v>
      </c>
    </row>
    <row r="196" spans="1:9" ht="28.5" customHeight="1" hidden="1" outlineLevel="5">
      <c r="A196" s="45" t="s">
        <v>233</v>
      </c>
      <c r="B196" s="60" t="s">
        <v>39</v>
      </c>
      <c r="C196" s="60" t="s">
        <v>65</v>
      </c>
      <c r="D196" s="60" t="s">
        <v>18</v>
      </c>
      <c r="E196" s="62">
        <v>0</v>
      </c>
      <c r="F196" s="61"/>
      <c r="G196" s="102">
        <f>SUM(G197:G198)</f>
        <v>0</v>
      </c>
      <c r="H196" s="102">
        <f>SUM(H197:H198)</f>
        <v>0</v>
      </c>
      <c r="I196" s="102" t="e">
        <f t="shared" si="6"/>
        <v>#DIV/0!</v>
      </c>
    </row>
    <row r="197" spans="1:9" ht="61.5" customHeight="1" hidden="1" outlineLevel="5">
      <c r="A197" s="45" t="s">
        <v>267</v>
      </c>
      <c r="B197" s="60" t="s">
        <v>39</v>
      </c>
      <c r="C197" s="60" t="s">
        <v>65</v>
      </c>
      <c r="D197" s="60" t="s">
        <v>18</v>
      </c>
      <c r="E197" s="62">
        <v>0</v>
      </c>
      <c r="F197" s="61">
        <v>600</v>
      </c>
      <c r="G197" s="102">
        <v>0</v>
      </c>
      <c r="H197" s="102">
        <v>0</v>
      </c>
      <c r="I197" s="102" t="e">
        <f t="shared" si="6"/>
        <v>#DIV/0!</v>
      </c>
    </row>
    <row r="198" spans="1:9" ht="0.75" customHeight="1" hidden="1" outlineLevel="5">
      <c r="A198" s="45" t="s">
        <v>268</v>
      </c>
      <c r="B198" s="60" t="s">
        <v>39</v>
      </c>
      <c r="C198" s="60" t="s">
        <v>65</v>
      </c>
      <c r="D198" s="60" t="s">
        <v>18</v>
      </c>
      <c r="E198" s="62">
        <v>0</v>
      </c>
      <c r="F198" s="61">
        <v>600</v>
      </c>
      <c r="G198" s="102">
        <v>0</v>
      </c>
      <c r="H198" s="102">
        <v>0</v>
      </c>
      <c r="I198" s="102" t="e">
        <f t="shared" si="6"/>
        <v>#DIV/0!</v>
      </c>
    </row>
    <row r="199" spans="1:9" ht="75" customHeight="1" outlineLevel="3">
      <c r="A199" s="45" t="s">
        <v>326</v>
      </c>
      <c r="B199" s="60" t="s">
        <v>39</v>
      </c>
      <c r="C199" s="60" t="s">
        <v>65</v>
      </c>
      <c r="D199" s="60" t="s">
        <v>197</v>
      </c>
      <c r="E199" s="62">
        <v>0</v>
      </c>
      <c r="F199" s="61"/>
      <c r="G199" s="102">
        <f>SUM(G200:G201)</f>
        <v>1179.67726</v>
      </c>
      <c r="H199" s="102">
        <f>SUM(H200:H201)</f>
        <v>1179.67726</v>
      </c>
      <c r="I199" s="102">
        <f t="shared" si="6"/>
        <v>100</v>
      </c>
    </row>
    <row r="200" spans="1:9" ht="27.75" customHeight="1" outlineLevel="3">
      <c r="A200" s="45" t="s">
        <v>98</v>
      </c>
      <c r="B200" s="60" t="s">
        <v>39</v>
      </c>
      <c r="C200" s="60" t="s">
        <v>65</v>
      </c>
      <c r="D200" s="60" t="s">
        <v>197</v>
      </c>
      <c r="E200" s="62">
        <v>0</v>
      </c>
      <c r="F200" s="61">
        <v>200</v>
      </c>
      <c r="G200" s="102">
        <v>46.18948</v>
      </c>
      <c r="H200" s="102">
        <v>46.18948</v>
      </c>
      <c r="I200" s="102">
        <f t="shared" si="6"/>
        <v>100</v>
      </c>
    </row>
    <row r="201" spans="1:9" ht="24" outlineLevel="3">
      <c r="A201" s="45" t="s">
        <v>150</v>
      </c>
      <c r="B201" s="60" t="s">
        <v>39</v>
      </c>
      <c r="C201" s="60" t="s">
        <v>65</v>
      </c>
      <c r="D201" s="60" t="s">
        <v>197</v>
      </c>
      <c r="E201" s="62">
        <v>0</v>
      </c>
      <c r="F201" s="61">
        <v>600</v>
      </c>
      <c r="G201" s="102">
        <f>1133.48756+0.00022</f>
        <v>1133.48778</v>
      </c>
      <c r="H201" s="102">
        <f>1133.48756+0.00022</f>
        <v>1133.48778</v>
      </c>
      <c r="I201" s="102">
        <f t="shared" si="6"/>
        <v>100</v>
      </c>
    </row>
    <row r="202" spans="1:9" ht="25.5" customHeight="1" outlineLevel="3">
      <c r="A202" s="45" t="s">
        <v>333</v>
      </c>
      <c r="B202" s="60" t="s">
        <v>39</v>
      </c>
      <c r="C202" s="60" t="s">
        <v>65</v>
      </c>
      <c r="D202" s="60" t="s">
        <v>20</v>
      </c>
      <c r="E202" s="62">
        <v>0</v>
      </c>
      <c r="F202" s="99"/>
      <c r="G202" s="103">
        <f>SUM(G203)</f>
        <v>220245.61553000004</v>
      </c>
      <c r="H202" s="103">
        <f>SUM(H203)</f>
        <v>200327.51262999998</v>
      </c>
      <c r="I202" s="102">
        <f t="shared" si="6"/>
        <v>90.9564134332168</v>
      </c>
    </row>
    <row r="203" spans="1:9" ht="15.75" outlineLevel="3">
      <c r="A203" s="45" t="s">
        <v>281</v>
      </c>
      <c r="B203" s="60" t="s">
        <v>39</v>
      </c>
      <c r="C203" s="60" t="s">
        <v>65</v>
      </c>
      <c r="D203" s="60" t="s">
        <v>20</v>
      </c>
      <c r="E203" s="62">
        <v>2</v>
      </c>
      <c r="F203" s="99"/>
      <c r="G203" s="103">
        <f>SUM(G204+G212)</f>
        <v>220245.61553000004</v>
      </c>
      <c r="H203" s="103">
        <f>SUM(H204+H212)</f>
        <v>200327.51262999998</v>
      </c>
      <c r="I203" s="102">
        <f aca="true" t="shared" si="7" ref="I203:I266">SUM(H203/G203)*100</f>
        <v>90.9564134332168</v>
      </c>
    </row>
    <row r="204" spans="1:9" ht="18" customHeight="1" outlineLevel="3">
      <c r="A204" s="45" t="s">
        <v>69</v>
      </c>
      <c r="B204" s="60" t="s">
        <v>39</v>
      </c>
      <c r="C204" s="60" t="s">
        <v>65</v>
      </c>
      <c r="D204" s="60" t="s">
        <v>20</v>
      </c>
      <c r="E204" s="62">
        <v>2</v>
      </c>
      <c r="F204" s="61"/>
      <c r="G204" s="102">
        <f>SUM(G205:G211)</f>
        <v>23319.08885</v>
      </c>
      <c r="H204" s="102">
        <f>SUM(H205:H211)</f>
        <v>21881.24959</v>
      </c>
      <c r="I204" s="102">
        <f t="shared" si="7"/>
        <v>93.83406757764465</v>
      </c>
    </row>
    <row r="205" spans="1:9" ht="47.25" customHeight="1" hidden="1" outlineLevel="3">
      <c r="A205" s="45" t="s">
        <v>97</v>
      </c>
      <c r="B205" s="60" t="s">
        <v>39</v>
      </c>
      <c r="C205" s="60" t="s">
        <v>65</v>
      </c>
      <c r="D205" s="60" t="s">
        <v>20</v>
      </c>
      <c r="E205" s="62">
        <v>2</v>
      </c>
      <c r="F205" s="61">
        <v>100</v>
      </c>
      <c r="G205" s="102">
        <f>100+38.5901-43.595-94.9951</f>
        <v>0</v>
      </c>
      <c r="H205" s="102">
        <f>100+38.5901-43.595-94.9951</f>
        <v>0</v>
      </c>
      <c r="I205" s="102">
        <v>0</v>
      </c>
    </row>
    <row r="206" spans="1:9" ht="24" outlineLevel="3">
      <c r="A206" s="45" t="s">
        <v>98</v>
      </c>
      <c r="B206" s="60" t="s">
        <v>39</v>
      </c>
      <c r="C206" s="60" t="s">
        <v>65</v>
      </c>
      <c r="D206" s="60" t="s">
        <v>20</v>
      </c>
      <c r="E206" s="62">
        <v>2</v>
      </c>
      <c r="F206" s="61">
        <v>200</v>
      </c>
      <c r="G206" s="102">
        <f>500-36.31633+63.595+22.9951+6.89023+2.69333+4.67314</f>
        <v>564.5304699999999</v>
      </c>
      <c r="H206" s="102">
        <v>376.40515</v>
      </c>
      <c r="I206" s="102">
        <f t="shared" si="7"/>
        <v>66.67578988251954</v>
      </c>
    </row>
    <row r="207" spans="1:9" ht="48" outlineLevel="3">
      <c r="A207" s="45" t="s">
        <v>276</v>
      </c>
      <c r="B207" s="60" t="s">
        <v>39</v>
      </c>
      <c r="C207" s="60" t="s">
        <v>65</v>
      </c>
      <c r="D207" s="60" t="s">
        <v>20</v>
      </c>
      <c r="E207" s="62">
        <v>2</v>
      </c>
      <c r="F207" s="61">
        <v>200</v>
      </c>
      <c r="G207" s="102">
        <f>31.5+0.93129-0.27492</f>
        <v>32.156369999999995</v>
      </c>
      <c r="H207" s="102">
        <f>31.5+0.93129-0.27492</f>
        <v>32.156369999999995</v>
      </c>
      <c r="I207" s="102">
        <f t="shared" si="7"/>
        <v>100</v>
      </c>
    </row>
    <row r="208" spans="1:9" ht="15.75" outlineLevel="3">
      <c r="A208" s="45" t="s">
        <v>138</v>
      </c>
      <c r="B208" s="60" t="s">
        <v>39</v>
      </c>
      <c r="C208" s="60" t="s">
        <v>65</v>
      </c>
      <c r="D208" s="60" t="s">
        <v>20</v>
      </c>
      <c r="E208" s="62">
        <v>2</v>
      </c>
      <c r="F208" s="61">
        <v>800</v>
      </c>
      <c r="G208" s="102">
        <f>30-3.62211</f>
        <v>26.37789</v>
      </c>
      <c r="H208" s="102">
        <f>30-3.62211</f>
        <v>26.37789</v>
      </c>
      <c r="I208" s="102">
        <f t="shared" si="7"/>
        <v>100</v>
      </c>
    </row>
    <row r="209" spans="1:9" ht="29.25" customHeight="1" outlineLevel="3">
      <c r="A209" s="45" t="s">
        <v>150</v>
      </c>
      <c r="B209" s="60" t="s">
        <v>39</v>
      </c>
      <c r="C209" s="60" t="s">
        <v>65</v>
      </c>
      <c r="D209" s="60" t="s">
        <v>20</v>
      </c>
      <c r="E209" s="62">
        <v>2</v>
      </c>
      <c r="F209" s="61">
        <v>600</v>
      </c>
      <c r="G209" s="102">
        <f>21000+36.31633-15-1.7+72-850-6.89023-363.09533+102.61923+295+389.52059</f>
        <v>20658.77059</v>
      </c>
      <c r="H209" s="102">
        <v>19409.69301</v>
      </c>
      <c r="I209" s="102">
        <f t="shared" si="7"/>
        <v>93.95376615196732</v>
      </c>
    </row>
    <row r="210" spans="1:9" ht="36.75" customHeight="1" outlineLevel="3">
      <c r="A210" s="45" t="s">
        <v>338</v>
      </c>
      <c r="B210" s="60" t="s">
        <v>39</v>
      </c>
      <c r="C210" s="60" t="s">
        <v>65</v>
      </c>
      <c r="D210" s="60" t="s">
        <v>20</v>
      </c>
      <c r="E210" s="62">
        <v>2</v>
      </c>
      <c r="F210" s="61">
        <v>600</v>
      </c>
      <c r="G210" s="102">
        <v>15</v>
      </c>
      <c r="H210" s="102">
        <v>14.36364</v>
      </c>
      <c r="I210" s="102">
        <f t="shared" si="7"/>
        <v>95.7576</v>
      </c>
    </row>
    <row r="211" spans="1:9" ht="52.5" customHeight="1" outlineLevel="3">
      <c r="A211" s="45" t="s">
        <v>293</v>
      </c>
      <c r="B211" s="60" t="s">
        <v>39</v>
      </c>
      <c r="C211" s="60" t="s">
        <v>65</v>
      </c>
      <c r="D211" s="60" t="s">
        <v>20</v>
      </c>
      <c r="E211" s="62">
        <v>2</v>
      </c>
      <c r="F211" s="61">
        <v>600</v>
      </c>
      <c r="G211" s="102">
        <f>2061.5-38.5901+36.31633-36.31633-0.93129+0.27492</f>
        <v>2022.2535300000002</v>
      </c>
      <c r="H211" s="102">
        <f>2061.5-38.5901+36.31633-36.31633-0.93129+0.27492</f>
        <v>2022.2535300000002</v>
      </c>
      <c r="I211" s="102">
        <f t="shared" si="7"/>
        <v>100</v>
      </c>
    </row>
    <row r="212" spans="1:9" ht="18.75" customHeight="1" outlineLevel="3">
      <c r="A212" s="45" t="s">
        <v>155</v>
      </c>
      <c r="B212" s="60" t="s">
        <v>39</v>
      </c>
      <c r="C212" s="60" t="s">
        <v>65</v>
      </c>
      <c r="D212" s="60" t="s">
        <v>20</v>
      </c>
      <c r="E212" s="62">
        <v>2</v>
      </c>
      <c r="F212" s="61"/>
      <c r="G212" s="102">
        <f>SUM(G213:G225)</f>
        <v>196926.52668000004</v>
      </c>
      <c r="H212" s="102">
        <f>SUM(H213:H225)</f>
        <v>178446.26304</v>
      </c>
      <c r="I212" s="102">
        <f t="shared" si="7"/>
        <v>90.61565551804509</v>
      </c>
    </row>
    <row r="213" spans="1:9" ht="46.5" customHeight="1" outlineLevel="3">
      <c r="A213" s="45" t="s">
        <v>97</v>
      </c>
      <c r="B213" s="60" t="s">
        <v>39</v>
      </c>
      <c r="C213" s="60" t="s">
        <v>65</v>
      </c>
      <c r="D213" s="60" t="s">
        <v>20</v>
      </c>
      <c r="E213" s="62">
        <v>2</v>
      </c>
      <c r="F213" s="61">
        <v>100</v>
      </c>
      <c r="G213" s="102">
        <f>4722.3-293.4+1496.3+11.8</f>
        <v>5937.000000000001</v>
      </c>
      <c r="H213" s="102">
        <v>4938.17588</v>
      </c>
      <c r="I213" s="102">
        <f t="shared" si="7"/>
        <v>83.17628229745662</v>
      </c>
    </row>
    <row r="214" spans="1:9" ht="36" hidden="1" outlineLevel="3">
      <c r="A214" s="45" t="s">
        <v>277</v>
      </c>
      <c r="B214" s="60" t="s">
        <v>39</v>
      </c>
      <c r="C214" s="60" t="s">
        <v>65</v>
      </c>
      <c r="D214" s="60" t="s">
        <v>20</v>
      </c>
      <c r="E214" s="62">
        <v>2</v>
      </c>
      <c r="F214" s="61">
        <v>100</v>
      </c>
      <c r="G214" s="102">
        <v>0</v>
      </c>
      <c r="H214" s="102">
        <v>0</v>
      </c>
      <c r="I214" s="102" t="e">
        <f t="shared" si="7"/>
        <v>#DIV/0!</v>
      </c>
    </row>
    <row r="215" spans="1:9" ht="36" outlineLevel="3">
      <c r="A215" s="45" t="s">
        <v>272</v>
      </c>
      <c r="B215" s="60" t="s">
        <v>39</v>
      </c>
      <c r="C215" s="60" t="s">
        <v>65</v>
      </c>
      <c r="D215" s="60" t="s">
        <v>20</v>
      </c>
      <c r="E215" s="62">
        <v>2</v>
      </c>
      <c r="F215" s="61">
        <v>100</v>
      </c>
      <c r="G215" s="102">
        <f>625-28.77227+3.43503</f>
        <v>599.6627599999999</v>
      </c>
      <c r="H215" s="102">
        <f>625-28.77227+3.43503</f>
        <v>599.6627599999999</v>
      </c>
      <c r="I215" s="102">
        <f t="shared" si="7"/>
        <v>100</v>
      </c>
    </row>
    <row r="216" spans="1:9" ht="27" customHeight="1" outlineLevel="3">
      <c r="A216" s="45" t="s">
        <v>98</v>
      </c>
      <c r="B216" s="60" t="s">
        <v>39</v>
      </c>
      <c r="C216" s="60" t="s">
        <v>65</v>
      </c>
      <c r="D216" s="60" t="s">
        <v>20</v>
      </c>
      <c r="E216" s="62">
        <v>2</v>
      </c>
      <c r="F216" s="61">
        <v>200</v>
      </c>
      <c r="G216" s="102">
        <f>40+80</f>
        <v>120</v>
      </c>
      <c r="H216" s="102">
        <f>40+80</f>
        <v>120</v>
      </c>
      <c r="I216" s="102">
        <f t="shared" si="7"/>
        <v>100</v>
      </c>
    </row>
    <row r="217" spans="1:9" ht="16.5" customHeight="1" outlineLevel="3">
      <c r="A217" s="45" t="s">
        <v>68</v>
      </c>
      <c r="B217" s="60" t="s">
        <v>39</v>
      </c>
      <c r="C217" s="60" t="s">
        <v>65</v>
      </c>
      <c r="D217" s="60" t="s">
        <v>20</v>
      </c>
      <c r="E217" s="62">
        <v>2</v>
      </c>
      <c r="F217" s="61">
        <v>200</v>
      </c>
      <c r="G217" s="102">
        <f>56.6+19.00478+1.50462</f>
        <v>77.10940000000001</v>
      </c>
      <c r="H217" s="102">
        <v>69.16901</v>
      </c>
      <c r="I217" s="102">
        <f t="shared" si="7"/>
        <v>89.70243576010188</v>
      </c>
    </row>
    <row r="218" spans="1:9" ht="37.5" customHeight="1" outlineLevel="3">
      <c r="A218" s="45" t="s">
        <v>275</v>
      </c>
      <c r="B218" s="60" t="s">
        <v>39</v>
      </c>
      <c r="C218" s="60" t="s">
        <v>65</v>
      </c>
      <c r="D218" s="60" t="s">
        <v>20</v>
      </c>
      <c r="E218" s="62">
        <v>2</v>
      </c>
      <c r="F218" s="61">
        <v>200</v>
      </c>
      <c r="G218" s="102">
        <f>96.5+3.01045-0.84348</f>
        <v>98.66697</v>
      </c>
      <c r="H218" s="102">
        <f>96.5+3.01045-0.84348</f>
        <v>98.66697</v>
      </c>
      <c r="I218" s="102">
        <f t="shared" si="7"/>
        <v>100</v>
      </c>
    </row>
    <row r="219" spans="1:9" ht="48" outlineLevel="3">
      <c r="A219" s="45" t="s">
        <v>292</v>
      </c>
      <c r="B219" s="60" t="s">
        <v>39</v>
      </c>
      <c r="C219" s="60" t="s">
        <v>65</v>
      </c>
      <c r="D219" s="60" t="s">
        <v>20</v>
      </c>
      <c r="E219" s="62">
        <v>2</v>
      </c>
      <c r="F219" s="61">
        <v>600</v>
      </c>
      <c r="G219" s="102">
        <f>6415.1-G218-0.02383-111.43115</f>
        <v>6204.97805</v>
      </c>
      <c r="H219" s="102">
        <f>6415.1-H218-0.02383-111.43115</f>
        <v>6204.97805</v>
      </c>
      <c r="I219" s="102">
        <f t="shared" si="7"/>
        <v>100</v>
      </c>
    </row>
    <row r="220" spans="1:9" ht="15.75" customHeight="1" outlineLevel="3">
      <c r="A220" s="45" t="s">
        <v>67</v>
      </c>
      <c r="B220" s="60" t="s">
        <v>39</v>
      </c>
      <c r="C220" s="60" t="s">
        <v>65</v>
      </c>
      <c r="D220" s="60" t="s">
        <v>20</v>
      </c>
      <c r="E220" s="62">
        <v>2</v>
      </c>
      <c r="F220" s="61">
        <v>600</v>
      </c>
      <c r="G220" s="102">
        <f>157087.2-G213-G216+7532.7+5449+321</f>
        <v>164332.90000000002</v>
      </c>
      <c r="H220" s="102">
        <v>147013.02412</v>
      </c>
      <c r="I220" s="102">
        <f t="shared" si="7"/>
        <v>89.4604939850754</v>
      </c>
    </row>
    <row r="221" spans="1:9" ht="36.75" customHeight="1" hidden="1" outlineLevel="3">
      <c r="A221" s="45" t="s">
        <v>343</v>
      </c>
      <c r="B221" s="60" t="s">
        <v>39</v>
      </c>
      <c r="C221" s="60" t="s">
        <v>65</v>
      </c>
      <c r="D221" s="60" t="s">
        <v>20</v>
      </c>
      <c r="E221" s="62">
        <v>2</v>
      </c>
      <c r="F221" s="61">
        <v>600</v>
      </c>
      <c r="G221" s="102">
        <v>0</v>
      </c>
      <c r="H221" s="102">
        <v>0</v>
      </c>
      <c r="I221" s="102">
        <v>0</v>
      </c>
    </row>
    <row r="222" spans="1:9" ht="36" outlineLevel="3">
      <c r="A222" s="45" t="s">
        <v>272</v>
      </c>
      <c r="B222" s="60" t="s">
        <v>39</v>
      </c>
      <c r="C222" s="60" t="s">
        <v>65</v>
      </c>
      <c r="D222" s="60" t="s">
        <v>20</v>
      </c>
      <c r="E222" s="62">
        <v>2</v>
      </c>
      <c r="F222" s="61">
        <v>600</v>
      </c>
      <c r="G222" s="102">
        <f>13487.4-G215+0.043+1277.237+106.27</f>
        <v>14271.287240000001</v>
      </c>
      <c r="H222" s="102">
        <f>13487.4-H215+0.043+1277.237+106.27</f>
        <v>14271.287240000001</v>
      </c>
      <c r="I222" s="102">
        <f t="shared" si="7"/>
        <v>100</v>
      </c>
    </row>
    <row r="223" spans="1:9" ht="14.25" customHeight="1" outlineLevel="3">
      <c r="A223" s="45" t="s">
        <v>68</v>
      </c>
      <c r="B223" s="60" t="s">
        <v>39</v>
      </c>
      <c r="C223" s="60" t="s">
        <v>65</v>
      </c>
      <c r="D223" s="60" t="s">
        <v>20</v>
      </c>
      <c r="E223" s="62">
        <v>2</v>
      </c>
      <c r="F223" s="61">
        <v>600</v>
      </c>
      <c r="G223" s="102">
        <f>5208.8-G217+348.5-457.3</f>
        <v>5022.8906</v>
      </c>
      <c r="H223" s="102">
        <v>4870.83099</v>
      </c>
      <c r="I223" s="102">
        <f t="shared" si="7"/>
        <v>96.97266729241527</v>
      </c>
    </row>
    <row r="224" spans="1:9" ht="34.5" customHeight="1" outlineLevel="3">
      <c r="A224" s="45" t="s">
        <v>337</v>
      </c>
      <c r="B224" s="60" t="s">
        <v>39</v>
      </c>
      <c r="C224" s="60" t="s">
        <v>65</v>
      </c>
      <c r="D224" s="60" t="s">
        <v>20</v>
      </c>
      <c r="E224" s="62">
        <v>2</v>
      </c>
      <c r="F224" s="61">
        <v>600</v>
      </c>
      <c r="G224" s="102">
        <v>150</v>
      </c>
      <c r="H224" s="102">
        <v>148.43636</v>
      </c>
      <c r="I224" s="102">
        <f t="shared" si="7"/>
        <v>98.95757333333334</v>
      </c>
    </row>
    <row r="225" spans="1:9" ht="24" customHeight="1" outlineLevel="3">
      <c r="A225" s="45" t="s">
        <v>154</v>
      </c>
      <c r="B225" s="60" t="s">
        <v>39</v>
      </c>
      <c r="C225" s="60" t="s">
        <v>65</v>
      </c>
      <c r="D225" s="60" t="s">
        <v>20</v>
      </c>
      <c r="E225" s="62">
        <v>2</v>
      </c>
      <c r="F225" s="61">
        <v>600</v>
      </c>
      <c r="G225" s="102">
        <f>113+1.7+0.23155-2.89989</f>
        <v>112.03166</v>
      </c>
      <c r="H225" s="102">
        <f>113+1.7+0.23155-2.89989</f>
        <v>112.03166</v>
      </c>
      <c r="I225" s="102">
        <f t="shared" si="7"/>
        <v>100</v>
      </c>
    </row>
    <row r="226" spans="1:9" ht="13.5" customHeight="1" outlineLevel="1">
      <c r="A226" s="45" t="s">
        <v>201</v>
      </c>
      <c r="B226" s="60" t="s">
        <v>39</v>
      </c>
      <c r="C226" s="60" t="s">
        <v>202</v>
      </c>
      <c r="D226" s="60"/>
      <c r="E226" s="62"/>
      <c r="F226" s="61"/>
      <c r="G226" s="102">
        <f>SUM(G230+G227)</f>
        <v>11531.284870000001</v>
      </c>
      <c r="H226" s="102">
        <f>SUM(H230+H227)</f>
        <v>11301.91122</v>
      </c>
      <c r="I226" s="102">
        <f t="shared" si="7"/>
        <v>98.01085783079782</v>
      </c>
    </row>
    <row r="227" spans="1:9" ht="0.75" customHeight="1" hidden="1" outlineLevel="1">
      <c r="A227" s="45" t="s">
        <v>243</v>
      </c>
      <c r="B227" s="60" t="s">
        <v>39</v>
      </c>
      <c r="C227" s="60" t="s">
        <v>202</v>
      </c>
      <c r="D227" s="60" t="s">
        <v>6</v>
      </c>
      <c r="E227" s="62">
        <v>0</v>
      </c>
      <c r="F227" s="61"/>
      <c r="G227" s="102">
        <f>SUM(G228)</f>
        <v>0</v>
      </c>
      <c r="H227" s="102">
        <f>SUM(H228)</f>
        <v>0</v>
      </c>
      <c r="I227" s="102" t="e">
        <f t="shared" si="7"/>
        <v>#DIV/0!</v>
      </c>
    </row>
    <row r="228" spans="1:9" ht="36" hidden="1" outlineLevel="1">
      <c r="A228" s="45" t="s">
        <v>196</v>
      </c>
      <c r="B228" s="60" t="s">
        <v>39</v>
      </c>
      <c r="C228" s="60" t="s">
        <v>202</v>
      </c>
      <c r="D228" s="60" t="s">
        <v>6</v>
      </c>
      <c r="E228" s="62">
        <v>3</v>
      </c>
      <c r="F228" s="61"/>
      <c r="G228" s="102">
        <f>SUM(G229:G229)</f>
        <v>0</v>
      </c>
      <c r="H228" s="102">
        <f>SUM(H229:H229)</f>
        <v>0</v>
      </c>
      <c r="I228" s="102" t="e">
        <f t="shared" si="7"/>
        <v>#DIV/0!</v>
      </c>
    </row>
    <row r="229" spans="1:9" ht="24" hidden="1" outlineLevel="1">
      <c r="A229" s="45" t="s">
        <v>150</v>
      </c>
      <c r="B229" s="60" t="s">
        <v>39</v>
      </c>
      <c r="C229" s="60" t="s">
        <v>202</v>
      </c>
      <c r="D229" s="60" t="s">
        <v>6</v>
      </c>
      <c r="E229" s="62">
        <v>3</v>
      </c>
      <c r="F229" s="61">
        <v>600</v>
      </c>
      <c r="G229" s="102">
        <v>0</v>
      </c>
      <c r="H229" s="102">
        <v>0</v>
      </c>
      <c r="I229" s="102" t="e">
        <f t="shared" si="7"/>
        <v>#DIV/0!</v>
      </c>
    </row>
    <row r="230" spans="1:9" ht="28.5" customHeight="1" outlineLevel="1">
      <c r="A230" s="45" t="s">
        <v>333</v>
      </c>
      <c r="B230" s="60" t="s">
        <v>39</v>
      </c>
      <c r="C230" s="60" t="s">
        <v>202</v>
      </c>
      <c r="D230" s="60" t="s">
        <v>20</v>
      </c>
      <c r="E230" s="62">
        <v>0</v>
      </c>
      <c r="F230" s="61"/>
      <c r="G230" s="102">
        <f>SUM(G231)</f>
        <v>11531.284870000001</v>
      </c>
      <c r="H230" s="102">
        <f>SUM(H231)</f>
        <v>11301.91122</v>
      </c>
      <c r="I230" s="102">
        <f t="shared" si="7"/>
        <v>98.01085783079782</v>
      </c>
    </row>
    <row r="231" spans="1:9" ht="20.25" customHeight="1" outlineLevel="1">
      <c r="A231" s="45" t="s">
        <v>282</v>
      </c>
      <c r="B231" s="60" t="s">
        <v>39</v>
      </c>
      <c r="C231" s="60" t="s">
        <v>202</v>
      </c>
      <c r="D231" s="60" t="s">
        <v>20</v>
      </c>
      <c r="E231" s="62">
        <v>3</v>
      </c>
      <c r="F231" s="61"/>
      <c r="G231" s="102">
        <f>SUM(G232:G234)</f>
        <v>11531.284870000001</v>
      </c>
      <c r="H231" s="102">
        <f>SUM(H232:H234)</f>
        <v>11301.91122</v>
      </c>
      <c r="I231" s="102">
        <f t="shared" si="7"/>
        <v>98.01085783079782</v>
      </c>
    </row>
    <row r="232" spans="1:9" ht="28.5" customHeight="1" outlineLevel="1">
      <c r="A232" s="45" t="s">
        <v>291</v>
      </c>
      <c r="B232" s="60" t="s">
        <v>39</v>
      </c>
      <c r="C232" s="60" t="s">
        <v>202</v>
      </c>
      <c r="D232" s="60" t="s">
        <v>20</v>
      </c>
      <c r="E232" s="62">
        <v>3</v>
      </c>
      <c r="F232" s="61">
        <v>600</v>
      </c>
      <c r="G232" s="102">
        <f>6000-100-173.34734</f>
        <v>5726.65266</v>
      </c>
      <c r="H232" s="102">
        <v>5626.10974</v>
      </c>
      <c r="I232" s="102">
        <f t="shared" si="7"/>
        <v>98.24429861614831</v>
      </c>
    </row>
    <row r="233" spans="1:9" ht="24" customHeight="1" outlineLevel="1">
      <c r="A233" s="45" t="s">
        <v>290</v>
      </c>
      <c r="B233" s="60" t="s">
        <v>39</v>
      </c>
      <c r="C233" s="60" t="s">
        <v>202</v>
      </c>
      <c r="D233" s="60" t="s">
        <v>20</v>
      </c>
      <c r="E233" s="62">
        <v>3</v>
      </c>
      <c r="F233" s="61">
        <v>600</v>
      </c>
      <c r="G233" s="102">
        <f>4300+751.31312+728.10231</f>
        <v>5779.41543</v>
      </c>
      <c r="H233" s="102">
        <v>5650.5847</v>
      </c>
      <c r="I233" s="102">
        <f t="shared" si="7"/>
        <v>97.77086918979279</v>
      </c>
    </row>
    <row r="234" spans="1:9" ht="24" customHeight="1" outlineLevel="1">
      <c r="A234" s="45" t="s">
        <v>154</v>
      </c>
      <c r="B234" s="60" t="s">
        <v>39</v>
      </c>
      <c r="C234" s="60" t="s">
        <v>202</v>
      </c>
      <c r="D234" s="60" t="s">
        <v>20</v>
      </c>
      <c r="E234" s="62">
        <v>3</v>
      </c>
      <c r="F234" s="61">
        <v>600</v>
      </c>
      <c r="G234" s="102">
        <f>22.31689+2.89989</f>
        <v>25.21678</v>
      </c>
      <c r="H234" s="102">
        <f>22.31689+2.89989</f>
        <v>25.21678</v>
      </c>
      <c r="I234" s="102">
        <f t="shared" si="7"/>
        <v>100</v>
      </c>
    </row>
    <row r="235" spans="1:9" ht="15" customHeight="1" outlineLevel="1">
      <c r="A235" s="46" t="s">
        <v>286</v>
      </c>
      <c r="B235" s="60" t="s">
        <v>39</v>
      </c>
      <c r="C235" s="60" t="s">
        <v>71</v>
      </c>
      <c r="D235" s="60" t="s">
        <v>0</v>
      </c>
      <c r="E235" s="62" t="s">
        <v>0</v>
      </c>
      <c r="F235" s="61"/>
      <c r="G235" s="102">
        <f>SUM(G236+G246)</f>
        <v>4844.24205</v>
      </c>
      <c r="H235" s="102">
        <f>SUM(H236+H246)</f>
        <v>4844.24205</v>
      </c>
      <c r="I235" s="102">
        <f t="shared" si="7"/>
        <v>100</v>
      </c>
    </row>
    <row r="236" spans="1:9" ht="50.25" customHeight="1" outlineLevel="1">
      <c r="A236" s="46" t="s">
        <v>324</v>
      </c>
      <c r="B236" s="60" t="s">
        <v>39</v>
      </c>
      <c r="C236" s="60" t="s">
        <v>71</v>
      </c>
      <c r="D236" s="60" t="s">
        <v>24</v>
      </c>
      <c r="E236" s="62">
        <v>0</v>
      </c>
      <c r="F236" s="61"/>
      <c r="G236" s="102">
        <f>SUM(G237+G239+G242+G244)</f>
        <v>60</v>
      </c>
      <c r="H236" s="102">
        <f>SUM(H237+H239+H242+H244)</f>
        <v>60</v>
      </c>
      <c r="I236" s="102">
        <f t="shared" si="7"/>
        <v>100</v>
      </c>
    </row>
    <row r="237" spans="1:9" ht="20.25" customHeight="1" outlineLevel="3">
      <c r="A237" s="45" t="s">
        <v>156</v>
      </c>
      <c r="B237" s="60" t="s">
        <v>39</v>
      </c>
      <c r="C237" s="60" t="s">
        <v>71</v>
      </c>
      <c r="D237" s="60" t="s">
        <v>24</v>
      </c>
      <c r="E237" s="62">
        <v>1</v>
      </c>
      <c r="F237" s="61"/>
      <c r="G237" s="102">
        <f>SUM(G238)</f>
        <v>20</v>
      </c>
      <c r="H237" s="102">
        <f>SUM(H238)</f>
        <v>20</v>
      </c>
      <c r="I237" s="102">
        <f t="shared" si="7"/>
        <v>100</v>
      </c>
    </row>
    <row r="238" spans="1:9" ht="21.75" customHeight="1" outlineLevel="3">
      <c r="A238" s="45" t="s">
        <v>98</v>
      </c>
      <c r="B238" s="60" t="s">
        <v>39</v>
      </c>
      <c r="C238" s="60" t="s">
        <v>71</v>
      </c>
      <c r="D238" s="60" t="s">
        <v>24</v>
      </c>
      <c r="E238" s="62">
        <v>1</v>
      </c>
      <c r="F238" s="61">
        <v>200</v>
      </c>
      <c r="G238" s="102">
        <f>50-20-10</f>
        <v>20</v>
      </c>
      <c r="H238" s="102">
        <f>50-20-10</f>
        <v>20</v>
      </c>
      <c r="I238" s="102">
        <f t="shared" si="7"/>
        <v>100</v>
      </c>
    </row>
    <row r="239" spans="1:9" s="15" customFormat="1" ht="29.25" customHeight="1" outlineLevel="2">
      <c r="A239" s="45" t="s">
        <v>157</v>
      </c>
      <c r="B239" s="60" t="s">
        <v>39</v>
      </c>
      <c r="C239" s="60" t="s">
        <v>71</v>
      </c>
      <c r="D239" s="60" t="s">
        <v>24</v>
      </c>
      <c r="E239" s="62">
        <v>2</v>
      </c>
      <c r="F239" s="61"/>
      <c r="G239" s="102">
        <f>SUM(G240:G241)</f>
        <v>30</v>
      </c>
      <c r="H239" s="102">
        <f>SUM(H240:H241)</f>
        <v>30</v>
      </c>
      <c r="I239" s="102">
        <f t="shared" si="7"/>
        <v>100</v>
      </c>
    </row>
    <row r="240" spans="1:9" s="15" customFormat="1" ht="27" customHeight="1" outlineLevel="2">
      <c r="A240" s="45" t="s">
        <v>98</v>
      </c>
      <c r="B240" s="60" t="s">
        <v>39</v>
      </c>
      <c r="C240" s="60" t="s">
        <v>71</v>
      </c>
      <c r="D240" s="60" t="s">
        <v>24</v>
      </c>
      <c r="E240" s="62">
        <v>2</v>
      </c>
      <c r="F240" s="61">
        <v>200</v>
      </c>
      <c r="G240" s="102">
        <f>100-60-10</f>
        <v>30</v>
      </c>
      <c r="H240" s="102">
        <f>100-60-10</f>
        <v>30</v>
      </c>
      <c r="I240" s="102">
        <f t="shared" si="7"/>
        <v>100</v>
      </c>
    </row>
    <row r="241" spans="1:9" s="15" customFormat="1" ht="66.75" customHeight="1" hidden="1" outlineLevel="2">
      <c r="A241" s="45" t="s">
        <v>319</v>
      </c>
      <c r="B241" s="60" t="s">
        <v>39</v>
      </c>
      <c r="C241" s="60" t="s">
        <v>71</v>
      </c>
      <c r="D241" s="60" t="s">
        <v>24</v>
      </c>
      <c r="E241" s="62">
        <v>2</v>
      </c>
      <c r="F241" s="61">
        <v>200</v>
      </c>
      <c r="G241" s="102">
        <f>10.5-10.5</f>
        <v>0</v>
      </c>
      <c r="H241" s="102">
        <f>10.5-10.5</f>
        <v>0</v>
      </c>
      <c r="I241" s="102" t="e">
        <f t="shared" si="7"/>
        <v>#DIV/0!</v>
      </c>
    </row>
    <row r="242" spans="1:9" s="15" customFormat="1" ht="24.75" customHeight="1" outlineLevel="2">
      <c r="A242" s="45" t="s">
        <v>222</v>
      </c>
      <c r="B242" s="60" t="s">
        <v>39</v>
      </c>
      <c r="C242" s="60" t="s">
        <v>71</v>
      </c>
      <c r="D242" s="60" t="s">
        <v>24</v>
      </c>
      <c r="E242" s="62">
        <v>3</v>
      </c>
      <c r="F242" s="61"/>
      <c r="G242" s="102">
        <f>SUM(G243)</f>
        <v>10</v>
      </c>
      <c r="H242" s="102">
        <f>SUM(H243)</f>
        <v>10</v>
      </c>
      <c r="I242" s="102">
        <f t="shared" si="7"/>
        <v>100</v>
      </c>
    </row>
    <row r="243" spans="1:9" s="15" customFormat="1" ht="24" outlineLevel="2">
      <c r="A243" s="45" t="s">
        <v>98</v>
      </c>
      <c r="B243" s="60" t="s">
        <v>39</v>
      </c>
      <c r="C243" s="60" t="s">
        <v>71</v>
      </c>
      <c r="D243" s="60" t="s">
        <v>24</v>
      </c>
      <c r="E243" s="62">
        <v>3</v>
      </c>
      <c r="F243" s="61">
        <v>200</v>
      </c>
      <c r="G243" s="102">
        <v>10</v>
      </c>
      <c r="H243" s="102">
        <v>10</v>
      </c>
      <c r="I243" s="102">
        <f t="shared" si="7"/>
        <v>100</v>
      </c>
    </row>
    <row r="244" spans="1:9" s="15" customFormat="1" ht="15.75" hidden="1" outlineLevel="2">
      <c r="A244" s="45"/>
      <c r="B244" s="60" t="s">
        <v>39</v>
      </c>
      <c r="C244" s="60" t="s">
        <v>71</v>
      </c>
      <c r="D244" s="60" t="s">
        <v>24</v>
      </c>
      <c r="E244" s="62">
        <v>3</v>
      </c>
      <c r="F244" s="61"/>
      <c r="G244" s="102">
        <f>SUM(G245)</f>
        <v>0</v>
      </c>
      <c r="H244" s="102">
        <f>SUM(H245)</f>
        <v>0</v>
      </c>
      <c r="I244" s="102" t="e">
        <f t="shared" si="7"/>
        <v>#DIV/0!</v>
      </c>
    </row>
    <row r="245" spans="1:9" s="15" customFormat="1" ht="15.75" hidden="1" outlineLevel="2">
      <c r="A245" s="45"/>
      <c r="B245" s="60" t="s">
        <v>39</v>
      </c>
      <c r="C245" s="60" t="s">
        <v>71</v>
      </c>
      <c r="D245" s="60" t="s">
        <v>24</v>
      </c>
      <c r="E245" s="62">
        <v>3</v>
      </c>
      <c r="F245" s="61">
        <v>200</v>
      </c>
      <c r="G245" s="102">
        <v>0</v>
      </c>
      <c r="H245" s="102">
        <v>0</v>
      </c>
      <c r="I245" s="102" t="e">
        <f t="shared" si="7"/>
        <v>#DIV/0!</v>
      </c>
    </row>
    <row r="246" spans="1:9" ht="35.25" customHeight="1" outlineLevel="3">
      <c r="A246" s="46" t="s">
        <v>308</v>
      </c>
      <c r="B246" s="60" t="s">
        <v>39</v>
      </c>
      <c r="C246" s="60" t="s">
        <v>71</v>
      </c>
      <c r="D246" s="60" t="s">
        <v>21</v>
      </c>
      <c r="E246" s="62">
        <v>0</v>
      </c>
      <c r="F246" s="61"/>
      <c r="G246" s="102">
        <f>SUM(G247)</f>
        <v>4784.24205</v>
      </c>
      <c r="H246" s="102">
        <f>SUM(H247)</f>
        <v>4784.24205</v>
      </c>
      <c r="I246" s="102">
        <f t="shared" si="7"/>
        <v>100</v>
      </c>
    </row>
    <row r="247" spans="1:9" ht="22.5" customHeight="1" outlineLevel="2">
      <c r="A247" s="45" t="s">
        <v>150</v>
      </c>
      <c r="B247" s="60" t="s">
        <v>39</v>
      </c>
      <c r="C247" s="60" t="s">
        <v>71</v>
      </c>
      <c r="D247" s="60" t="s">
        <v>21</v>
      </c>
      <c r="E247" s="62">
        <v>0</v>
      </c>
      <c r="F247" s="61">
        <v>600</v>
      </c>
      <c r="G247" s="102">
        <f>5100-200-300+184.24205</f>
        <v>4784.24205</v>
      </c>
      <c r="H247" s="102">
        <f>5100-200-300+184.24205</f>
        <v>4784.24205</v>
      </c>
      <c r="I247" s="102">
        <f t="shared" si="7"/>
        <v>100</v>
      </c>
    </row>
    <row r="248" spans="1:9" ht="16.5" customHeight="1" outlineLevel="2">
      <c r="A248" s="45" t="s">
        <v>72</v>
      </c>
      <c r="B248" s="60" t="s">
        <v>39</v>
      </c>
      <c r="C248" s="60" t="s">
        <v>73</v>
      </c>
      <c r="D248" s="60"/>
      <c r="E248" s="62"/>
      <c r="F248" s="61"/>
      <c r="G248" s="102">
        <f>SUM(G253+G259+G249)</f>
        <v>7831.41437</v>
      </c>
      <c r="H248" s="102">
        <f>SUM(H253+H259+H249)</f>
        <v>7831.41437</v>
      </c>
      <c r="I248" s="102">
        <f t="shared" si="7"/>
        <v>100</v>
      </c>
    </row>
    <row r="249" spans="1:9" ht="30" customHeight="1" outlineLevel="2">
      <c r="A249" s="45" t="s">
        <v>333</v>
      </c>
      <c r="B249" s="60" t="s">
        <v>39</v>
      </c>
      <c r="C249" s="60" t="s">
        <v>73</v>
      </c>
      <c r="D249" s="60" t="s">
        <v>20</v>
      </c>
      <c r="E249" s="62">
        <v>0</v>
      </c>
      <c r="F249" s="63"/>
      <c r="G249" s="102">
        <f>SUM(G250)</f>
        <v>3726.42536</v>
      </c>
      <c r="H249" s="102">
        <f>SUM(H250)</f>
        <v>3726.42536</v>
      </c>
      <c r="I249" s="102">
        <f t="shared" si="7"/>
        <v>100</v>
      </c>
    </row>
    <row r="250" spans="1:9" ht="21" customHeight="1" outlineLevel="2">
      <c r="A250" s="45" t="s">
        <v>281</v>
      </c>
      <c r="B250" s="60" t="s">
        <v>39</v>
      </c>
      <c r="C250" s="60" t="s">
        <v>73</v>
      </c>
      <c r="D250" s="60" t="s">
        <v>20</v>
      </c>
      <c r="E250" s="62">
        <v>2</v>
      </c>
      <c r="F250" s="63"/>
      <c r="G250" s="102">
        <f>SUM(G251:G252)</f>
        <v>3726.42536</v>
      </c>
      <c r="H250" s="102">
        <f>SUM(H251:H252)</f>
        <v>3726.42536</v>
      </c>
      <c r="I250" s="102">
        <f t="shared" si="7"/>
        <v>100</v>
      </c>
    </row>
    <row r="251" spans="1:9" ht="45.75" customHeight="1" outlineLevel="2">
      <c r="A251" s="45" t="s">
        <v>97</v>
      </c>
      <c r="B251" s="60" t="s">
        <v>39</v>
      </c>
      <c r="C251" s="60" t="s">
        <v>73</v>
      </c>
      <c r="D251" s="60" t="s">
        <v>20</v>
      </c>
      <c r="E251" s="62">
        <v>2</v>
      </c>
      <c r="F251" s="63">
        <v>100</v>
      </c>
      <c r="G251" s="102">
        <f>229.152+18.64329</f>
        <v>247.79529</v>
      </c>
      <c r="H251" s="102">
        <f>229.152+18.64329</f>
        <v>247.79529</v>
      </c>
      <c r="I251" s="102">
        <f t="shared" si="7"/>
        <v>100</v>
      </c>
    </row>
    <row r="252" spans="1:9" ht="54.75" customHeight="1" outlineLevel="2">
      <c r="A252" s="45" t="s">
        <v>342</v>
      </c>
      <c r="B252" s="60" t="s">
        <v>39</v>
      </c>
      <c r="C252" s="60" t="s">
        <v>73</v>
      </c>
      <c r="D252" s="60" t="s">
        <v>20</v>
      </c>
      <c r="E252" s="62">
        <v>2</v>
      </c>
      <c r="F252" s="63">
        <v>600</v>
      </c>
      <c r="G252" s="102">
        <f>3726.42536-229.152-18.64329</f>
        <v>3478.63007</v>
      </c>
      <c r="H252" s="102">
        <f>3726.42536-229.152-18.64329</f>
        <v>3478.63007</v>
      </c>
      <c r="I252" s="102">
        <f t="shared" si="7"/>
        <v>100</v>
      </c>
    </row>
    <row r="253" spans="1:9" ht="15.75" outlineLevel="3">
      <c r="A253" s="46" t="s">
        <v>158</v>
      </c>
      <c r="B253" s="60" t="s">
        <v>39</v>
      </c>
      <c r="C253" s="60" t="s">
        <v>73</v>
      </c>
      <c r="D253" s="60" t="s">
        <v>16</v>
      </c>
      <c r="E253" s="62">
        <v>0</v>
      </c>
      <c r="F253" s="61"/>
      <c r="G253" s="102">
        <f>SUM(G254)</f>
        <v>2683.75</v>
      </c>
      <c r="H253" s="102">
        <f>SUM(H254)</f>
        <v>2683.75</v>
      </c>
      <c r="I253" s="102">
        <f t="shared" si="7"/>
        <v>100</v>
      </c>
    </row>
    <row r="254" spans="1:9" ht="24" outlineLevel="3">
      <c r="A254" s="45" t="s">
        <v>149</v>
      </c>
      <c r="B254" s="60" t="s">
        <v>39</v>
      </c>
      <c r="C254" s="60" t="s">
        <v>73</v>
      </c>
      <c r="D254" s="60" t="s">
        <v>16</v>
      </c>
      <c r="E254" s="62">
        <v>0</v>
      </c>
      <c r="F254" s="61"/>
      <c r="G254" s="102">
        <f>SUM(G255:G256)</f>
        <v>2683.75</v>
      </c>
      <c r="H254" s="102">
        <f>SUM(H255:H256)</f>
        <v>2683.75</v>
      </c>
      <c r="I254" s="102">
        <f t="shared" si="7"/>
        <v>100</v>
      </c>
    </row>
    <row r="255" spans="1:9" ht="36" outlineLevel="1">
      <c r="A255" s="46" t="s">
        <v>159</v>
      </c>
      <c r="B255" s="60" t="s">
        <v>39</v>
      </c>
      <c r="C255" s="60" t="s">
        <v>73</v>
      </c>
      <c r="D255" s="60" t="s">
        <v>16</v>
      </c>
      <c r="E255" s="62">
        <v>0</v>
      </c>
      <c r="F255" s="61">
        <v>600</v>
      </c>
      <c r="G255" s="102">
        <f>2272.3+143.1</f>
        <v>2415.4</v>
      </c>
      <c r="H255" s="102">
        <f>2272.3+143.1</f>
        <v>2415.4</v>
      </c>
      <c r="I255" s="102">
        <f t="shared" si="7"/>
        <v>100</v>
      </c>
    </row>
    <row r="256" spans="1:9" ht="24" customHeight="1" outlineLevel="1">
      <c r="A256" s="45" t="s">
        <v>150</v>
      </c>
      <c r="B256" s="60" t="s">
        <v>39</v>
      </c>
      <c r="C256" s="60" t="s">
        <v>73</v>
      </c>
      <c r="D256" s="60" t="s">
        <v>16</v>
      </c>
      <c r="E256" s="62">
        <v>0</v>
      </c>
      <c r="F256" s="61">
        <v>600</v>
      </c>
      <c r="G256" s="102">
        <f>252.5-0.022+15.872</f>
        <v>268.35</v>
      </c>
      <c r="H256" s="102">
        <f>252.5-0.022+15.872</f>
        <v>268.35</v>
      </c>
      <c r="I256" s="102">
        <f t="shared" si="7"/>
        <v>100</v>
      </c>
    </row>
    <row r="257" spans="1:9" ht="0.75" customHeight="1" hidden="1" outlineLevel="1">
      <c r="A257" s="45" t="s">
        <v>239</v>
      </c>
      <c r="B257" s="60" t="s">
        <v>39</v>
      </c>
      <c r="C257" s="60" t="s">
        <v>73</v>
      </c>
      <c r="D257" s="60" t="s">
        <v>198</v>
      </c>
      <c r="E257" s="62">
        <v>0</v>
      </c>
      <c r="F257" s="63"/>
      <c r="G257" s="102">
        <f>SUM(G258)</f>
        <v>0</v>
      </c>
      <c r="H257" s="102">
        <f>SUM(H258)</f>
        <v>0</v>
      </c>
      <c r="I257" s="102" t="e">
        <f t="shared" si="7"/>
        <v>#DIV/0!</v>
      </c>
    </row>
    <row r="258" spans="1:9" ht="15.75" hidden="1" outlineLevel="1">
      <c r="A258" s="45" t="s">
        <v>151</v>
      </c>
      <c r="B258" s="60" t="s">
        <v>39</v>
      </c>
      <c r="C258" s="60" t="s">
        <v>73</v>
      </c>
      <c r="D258" s="60" t="s">
        <v>198</v>
      </c>
      <c r="E258" s="62">
        <v>0</v>
      </c>
      <c r="F258" s="63">
        <v>300</v>
      </c>
      <c r="G258" s="102">
        <v>0</v>
      </c>
      <c r="H258" s="102">
        <v>0</v>
      </c>
      <c r="I258" s="102" t="e">
        <f t="shared" si="7"/>
        <v>#DIV/0!</v>
      </c>
    </row>
    <row r="259" spans="1:9" ht="39.75" customHeight="1" outlineLevel="1">
      <c r="A259" s="46" t="s">
        <v>309</v>
      </c>
      <c r="B259" s="60" t="s">
        <v>39</v>
      </c>
      <c r="C259" s="60" t="s">
        <v>73</v>
      </c>
      <c r="D259" s="60" t="s">
        <v>22</v>
      </c>
      <c r="E259" s="62">
        <v>0</v>
      </c>
      <c r="F259" s="61"/>
      <c r="G259" s="102">
        <f>SUM(G260:G262)</f>
        <v>1421.23901</v>
      </c>
      <c r="H259" s="102">
        <f>SUM(H260:H262)</f>
        <v>1421.23901</v>
      </c>
      <c r="I259" s="102">
        <f t="shared" si="7"/>
        <v>100</v>
      </c>
    </row>
    <row r="260" spans="1:9" ht="34.5" customHeight="1" outlineLevel="1">
      <c r="A260" s="45" t="s">
        <v>97</v>
      </c>
      <c r="B260" s="60" t="s">
        <v>39</v>
      </c>
      <c r="C260" s="60" t="s">
        <v>73</v>
      </c>
      <c r="D260" s="60" t="s">
        <v>22</v>
      </c>
      <c r="E260" s="62">
        <v>0</v>
      </c>
      <c r="F260" s="61">
        <v>100</v>
      </c>
      <c r="G260" s="102">
        <f>1600-0.00429+50-228.76099</f>
        <v>1421.23472</v>
      </c>
      <c r="H260" s="102">
        <f>1600-0.00429+50-228.76099</f>
        <v>1421.23472</v>
      </c>
      <c r="I260" s="102">
        <f t="shared" si="7"/>
        <v>100</v>
      </c>
    </row>
    <row r="261" spans="1:9" ht="24" hidden="1" outlineLevel="1">
      <c r="A261" s="45" t="s">
        <v>98</v>
      </c>
      <c r="B261" s="60" t="s">
        <v>39</v>
      </c>
      <c r="C261" s="60" t="s">
        <v>73</v>
      </c>
      <c r="D261" s="60" t="s">
        <v>22</v>
      </c>
      <c r="E261" s="62">
        <v>0</v>
      </c>
      <c r="F261" s="61">
        <v>200</v>
      </c>
      <c r="G261" s="102">
        <f>50-50</f>
        <v>0</v>
      </c>
      <c r="H261" s="102">
        <f>50-50</f>
        <v>0</v>
      </c>
      <c r="I261" s="102">
        <v>0</v>
      </c>
    </row>
    <row r="262" spans="1:9" ht="15.75" outlineLevel="1">
      <c r="A262" s="45" t="s">
        <v>138</v>
      </c>
      <c r="B262" s="60" t="s">
        <v>39</v>
      </c>
      <c r="C262" s="60" t="s">
        <v>73</v>
      </c>
      <c r="D262" s="60" t="s">
        <v>22</v>
      </c>
      <c r="E262" s="62">
        <v>0</v>
      </c>
      <c r="F262" s="61">
        <v>800</v>
      </c>
      <c r="G262" s="102">
        <f>0.2-0.2+0.00429</f>
        <v>0.00429</v>
      </c>
      <c r="H262" s="102">
        <f>0.2-0.2+0.00429</f>
        <v>0.00429</v>
      </c>
      <c r="I262" s="102">
        <f t="shared" si="7"/>
        <v>100</v>
      </c>
    </row>
    <row r="263" spans="1:9" ht="15.75" outlineLevel="1">
      <c r="A263" s="45" t="s">
        <v>74</v>
      </c>
      <c r="B263" s="60" t="s">
        <v>39</v>
      </c>
      <c r="C263" s="60" t="s">
        <v>112</v>
      </c>
      <c r="D263" s="60"/>
      <c r="E263" s="62"/>
      <c r="F263" s="61"/>
      <c r="G263" s="102">
        <f>SUM(G264+G281+G283)</f>
        <v>33431.60135</v>
      </c>
      <c r="H263" s="102">
        <f>SUM(H264+H281+H283)</f>
        <v>32548.330230000003</v>
      </c>
      <c r="I263" s="102">
        <f t="shared" si="7"/>
        <v>97.3579754354184</v>
      </c>
    </row>
    <row r="264" spans="1:9" ht="15" customHeight="1" outlineLevel="1">
      <c r="A264" s="45" t="s">
        <v>113</v>
      </c>
      <c r="B264" s="60" t="s">
        <v>39</v>
      </c>
      <c r="C264" s="60" t="s">
        <v>80</v>
      </c>
      <c r="D264" s="60"/>
      <c r="E264" s="62"/>
      <c r="F264" s="61"/>
      <c r="G264" s="102">
        <f>SUM(G265+G268+G270+G275+G277+G279+G272)</f>
        <v>32917.43298</v>
      </c>
      <c r="H264" s="102">
        <f>SUM(H265+H268+H270+H275+H277+H279+H272)</f>
        <v>32082.13645</v>
      </c>
      <c r="I264" s="102">
        <f t="shared" si="7"/>
        <v>97.46244936381429</v>
      </c>
    </row>
    <row r="265" spans="1:9" ht="24" outlineLevel="1">
      <c r="A265" s="45" t="s">
        <v>260</v>
      </c>
      <c r="B265" s="60" t="s">
        <v>39</v>
      </c>
      <c r="C265" s="60" t="s">
        <v>80</v>
      </c>
      <c r="D265" s="60" t="s">
        <v>12</v>
      </c>
      <c r="E265" s="62">
        <v>0</v>
      </c>
      <c r="F265" s="61"/>
      <c r="G265" s="102">
        <f>SUM(G266:G267)</f>
        <v>19163.15984</v>
      </c>
      <c r="H265" s="102">
        <f>SUM(H266:H267)</f>
        <v>19163.15984</v>
      </c>
      <c r="I265" s="102">
        <f t="shared" si="7"/>
        <v>100</v>
      </c>
    </row>
    <row r="266" spans="1:9" ht="36" outlineLevel="2">
      <c r="A266" s="45" t="s">
        <v>321</v>
      </c>
      <c r="B266" s="60" t="s">
        <v>39</v>
      </c>
      <c r="C266" s="60" t="s">
        <v>80</v>
      </c>
      <c r="D266" s="60" t="s">
        <v>12</v>
      </c>
      <c r="E266" s="62">
        <v>0</v>
      </c>
      <c r="F266" s="61">
        <v>200</v>
      </c>
      <c r="G266" s="102">
        <f>22491.633-3750.80825</f>
        <v>18740.82475</v>
      </c>
      <c r="H266" s="102">
        <f>22491.633-3750.80825</f>
        <v>18740.82475</v>
      </c>
      <c r="I266" s="102">
        <f t="shared" si="7"/>
        <v>100</v>
      </c>
    </row>
    <row r="267" spans="1:9" ht="24" outlineLevel="5">
      <c r="A267" s="45" t="s">
        <v>322</v>
      </c>
      <c r="B267" s="60" t="s">
        <v>39</v>
      </c>
      <c r="C267" s="60" t="s">
        <v>80</v>
      </c>
      <c r="D267" s="60" t="s">
        <v>12</v>
      </c>
      <c r="E267" s="62">
        <v>0</v>
      </c>
      <c r="F267" s="61">
        <v>200</v>
      </c>
      <c r="G267" s="102">
        <f>50.807+380-8.47191</f>
        <v>422.33509000000004</v>
      </c>
      <c r="H267" s="102">
        <f>50.807+380-8.47191</f>
        <v>422.33509000000004</v>
      </c>
      <c r="I267" s="102">
        <f aca="true" t="shared" si="8" ref="I267:I330">SUM(H267/G267)*100</f>
        <v>100</v>
      </c>
    </row>
    <row r="268" spans="1:9" ht="25.5" customHeight="1" outlineLevel="1">
      <c r="A268" s="45" t="s">
        <v>244</v>
      </c>
      <c r="B268" s="60" t="s">
        <v>39</v>
      </c>
      <c r="C268" s="60" t="s">
        <v>80</v>
      </c>
      <c r="D268" s="60" t="s">
        <v>5</v>
      </c>
      <c r="E268" s="62">
        <v>0</v>
      </c>
      <c r="F268" s="63"/>
      <c r="G268" s="102">
        <f>SUM(G269)</f>
        <v>20</v>
      </c>
      <c r="H268" s="102">
        <f>SUM(H269)</f>
        <v>20</v>
      </c>
      <c r="I268" s="102">
        <f t="shared" si="8"/>
        <v>100</v>
      </c>
    </row>
    <row r="269" spans="1:9" ht="24" outlineLevel="2">
      <c r="A269" s="45" t="s">
        <v>150</v>
      </c>
      <c r="B269" s="60" t="s">
        <v>39</v>
      </c>
      <c r="C269" s="60" t="s">
        <v>80</v>
      </c>
      <c r="D269" s="60" t="s">
        <v>5</v>
      </c>
      <c r="E269" s="62">
        <v>0</v>
      </c>
      <c r="F269" s="63">
        <v>600</v>
      </c>
      <c r="G269" s="102">
        <v>20</v>
      </c>
      <c r="H269" s="102">
        <v>20</v>
      </c>
      <c r="I269" s="102">
        <f t="shared" si="8"/>
        <v>100</v>
      </c>
    </row>
    <row r="270" spans="1:9" ht="24.75" customHeight="1" outlineLevel="5">
      <c r="A270" s="46" t="s">
        <v>236</v>
      </c>
      <c r="B270" s="60" t="s">
        <v>39</v>
      </c>
      <c r="C270" s="60" t="s">
        <v>80</v>
      </c>
      <c r="D270" s="60" t="s">
        <v>4</v>
      </c>
      <c r="E270" s="62">
        <v>0</v>
      </c>
      <c r="F270" s="63"/>
      <c r="G270" s="102">
        <f>SUM(G271)</f>
        <v>0</v>
      </c>
      <c r="H270" s="102">
        <f>SUM(H271)</f>
        <v>0</v>
      </c>
      <c r="I270" s="102">
        <v>0</v>
      </c>
    </row>
    <row r="271" spans="1:9" ht="22.5" customHeight="1" outlineLevel="3">
      <c r="A271" s="45" t="s">
        <v>150</v>
      </c>
      <c r="B271" s="60" t="s">
        <v>39</v>
      </c>
      <c r="C271" s="60" t="s">
        <v>80</v>
      </c>
      <c r="D271" s="60" t="s">
        <v>4</v>
      </c>
      <c r="E271" s="62">
        <v>0</v>
      </c>
      <c r="F271" s="63">
        <v>600</v>
      </c>
      <c r="G271" s="102">
        <f>20-20</f>
        <v>0</v>
      </c>
      <c r="H271" s="102">
        <f>20-20</f>
        <v>0</v>
      </c>
      <c r="I271" s="102">
        <v>0</v>
      </c>
    </row>
    <row r="272" spans="1:9" ht="24" outlineLevel="3">
      <c r="A272" s="45" t="s">
        <v>149</v>
      </c>
      <c r="B272" s="60" t="s">
        <v>39</v>
      </c>
      <c r="C272" s="60" t="s">
        <v>80</v>
      </c>
      <c r="D272" s="60" t="s">
        <v>16</v>
      </c>
      <c r="E272" s="62">
        <v>0</v>
      </c>
      <c r="F272" s="61"/>
      <c r="G272" s="102">
        <f>SUM(G273)</f>
        <v>10</v>
      </c>
      <c r="H272" s="102">
        <f>SUM(H273)</f>
        <v>10</v>
      </c>
      <c r="I272" s="102">
        <f t="shared" si="8"/>
        <v>100</v>
      </c>
    </row>
    <row r="273" spans="1:9" ht="24" outlineLevel="3">
      <c r="A273" s="45" t="s">
        <v>98</v>
      </c>
      <c r="B273" s="60" t="s">
        <v>39</v>
      </c>
      <c r="C273" s="60" t="s">
        <v>80</v>
      </c>
      <c r="D273" s="60" t="s">
        <v>16</v>
      </c>
      <c r="E273" s="62">
        <v>0</v>
      </c>
      <c r="F273" s="61">
        <v>200</v>
      </c>
      <c r="G273" s="102">
        <v>10</v>
      </c>
      <c r="H273" s="102">
        <v>10</v>
      </c>
      <c r="I273" s="102">
        <f t="shared" si="8"/>
        <v>100</v>
      </c>
    </row>
    <row r="274" spans="1:9" ht="27.75" customHeight="1" outlineLevel="3">
      <c r="A274" s="46" t="s">
        <v>310</v>
      </c>
      <c r="B274" s="60" t="s">
        <v>39</v>
      </c>
      <c r="C274" s="60" t="s">
        <v>112</v>
      </c>
      <c r="D274" s="60" t="s">
        <v>23</v>
      </c>
      <c r="E274" s="62">
        <v>0</v>
      </c>
      <c r="F274" s="61"/>
      <c r="G274" s="102">
        <f>SUM(G275+G277+G279+G281+G284)</f>
        <v>14238.44151</v>
      </c>
      <c r="H274" s="102">
        <f>SUM(H275+H277+H279+H281+H284)</f>
        <v>13355.170390000001</v>
      </c>
      <c r="I274" s="102">
        <f t="shared" si="8"/>
        <v>93.7965744398384</v>
      </c>
    </row>
    <row r="275" spans="1:9" ht="15.75" outlineLevel="3">
      <c r="A275" s="46" t="s">
        <v>75</v>
      </c>
      <c r="B275" s="60" t="s">
        <v>39</v>
      </c>
      <c r="C275" s="60" t="s">
        <v>80</v>
      </c>
      <c r="D275" s="60" t="s">
        <v>23</v>
      </c>
      <c r="E275" s="62">
        <v>0</v>
      </c>
      <c r="F275" s="61"/>
      <c r="G275" s="102">
        <f>SUM(G276:G276)</f>
        <v>10849.031930000001</v>
      </c>
      <c r="H275" s="102">
        <f>SUM(H276:H276)</f>
        <v>10123.06218</v>
      </c>
      <c r="I275" s="102">
        <f t="shared" si="8"/>
        <v>93.30843752065535</v>
      </c>
    </row>
    <row r="276" spans="1:9" ht="27" customHeight="1" outlineLevel="3">
      <c r="A276" s="45" t="s">
        <v>150</v>
      </c>
      <c r="B276" s="60" t="s">
        <v>39</v>
      </c>
      <c r="C276" s="60" t="s">
        <v>80</v>
      </c>
      <c r="D276" s="60" t="s">
        <v>23</v>
      </c>
      <c r="E276" s="62">
        <v>0</v>
      </c>
      <c r="F276" s="61">
        <v>600</v>
      </c>
      <c r="G276" s="102">
        <f>8450+206.7+350+84.09263+373.52425+200+618.34505+566.37</f>
        <v>10849.031930000001</v>
      </c>
      <c r="H276" s="102">
        <v>10123.06218</v>
      </c>
      <c r="I276" s="102">
        <f t="shared" si="8"/>
        <v>93.30843752065535</v>
      </c>
    </row>
    <row r="277" spans="1:9" ht="16.5" customHeight="1" outlineLevel="5">
      <c r="A277" s="46" t="s">
        <v>76</v>
      </c>
      <c r="B277" s="60" t="s">
        <v>39</v>
      </c>
      <c r="C277" s="60" t="s">
        <v>80</v>
      </c>
      <c r="D277" s="60" t="s">
        <v>23</v>
      </c>
      <c r="E277" s="62">
        <v>0</v>
      </c>
      <c r="F277" s="63"/>
      <c r="G277" s="102">
        <f>SUM(G278)</f>
        <v>1564.4449000000002</v>
      </c>
      <c r="H277" s="102">
        <f>SUM(H278)</f>
        <v>1507.71888</v>
      </c>
      <c r="I277" s="102">
        <f t="shared" si="8"/>
        <v>96.3740480728979</v>
      </c>
    </row>
    <row r="278" spans="1:9" ht="27" customHeight="1" outlineLevel="5">
      <c r="A278" s="45" t="s">
        <v>150</v>
      </c>
      <c r="B278" s="60" t="s">
        <v>39</v>
      </c>
      <c r="C278" s="60" t="s">
        <v>80</v>
      </c>
      <c r="D278" s="60" t="s">
        <v>23</v>
      </c>
      <c r="E278" s="62">
        <v>0</v>
      </c>
      <c r="F278" s="63">
        <v>600</v>
      </c>
      <c r="G278" s="102">
        <f>862+731+100-200+37.5929+33.852</f>
        <v>1564.4449000000002</v>
      </c>
      <c r="H278" s="102">
        <v>1507.71888</v>
      </c>
      <c r="I278" s="102">
        <f t="shared" si="8"/>
        <v>96.3740480728979</v>
      </c>
    </row>
    <row r="279" spans="1:9" ht="15.75" outlineLevel="5">
      <c r="A279" s="46" t="s">
        <v>77</v>
      </c>
      <c r="B279" s="60" t="s">
        <v>39</v>
      </c>
      <c r="C279" s="60" t="s">
        <v>80</v>
      </c>
      <c r="D279" s="60" t="s">
        <v>23</v>
      </c>
      <c r="E279" s="62">
        <v>0</v>
      </c>
      <c r="F279" s="63"/>
      <c r="G279" s="102">
        <f>SUM(G280:G280)</f>
        <v>1310.79631</v>
      </c>
      <c r="H279" s="102">
        <f>SUM(H280:H280)</f>
        <v>1258.19555</v>
      </c>
      <c r="I279" s="102">
        <f t="shared" si="8"/>
        <v>95.98711412301732</v>
      </c>
    </row>
    <row r="280" spans="1:9" ht="24" outlineLevel="5">
      <c r="A280" s="45" t="s">
        <v>150</v>
      </c>
      <c r="B280" s="60" t="s">
        <v>39</v>
      </c>
      <c r="C280" s="60" t="s">
        <v>80</v>
      </c>
      <c r="D280" s="60" t="s">
        <v>23</v>
      </c>
      <c r="E280" s="62">
        <v>0</v>
      </c>
      <c r="F280" s="63">
        <v>600</v>
      </c>
      <c r="G280" s="102">
        <f>1069+288+100-150-84.09263+56.64094+31.248</f>
        <v>1310.79631</v>
      </c>
      <c r="H280" s="102">
        <v>1258.19555</v>
      </c>
      <c r="I280" s="102">
        <f t="shared" si="8"/>
        <v>95.98711412301732</v>
      </c>
    </row>
    <row r="281" spans="1:9" ht="15.75" outlineLevel="5">
      <c r="A281" s="46" t="s">
        <v>78</v>
      </c>
      <c r="B281" s="60" t="s">
        <v>39</v>
      </c>
      <c r="C281" s="60" t="s">
        <v>81</v>
      </c>
      <c r="D281" s="60" t="s">
        <v>23</v>
      </c>
      <c r="E281" s="62">
        <v>0</v>
      </c>
      <c r="F281" s="63"/>
      <c r="G281" s="102">
        <f>SUM(G282)</f>
        <v>514.1683700000001</v>
      </c>
      <c r="H281" s="102">
        <f>SUM(H282)</f>
        <v>466.19378</v>
      </c>
      <c r="I281" s="102">
        <f t="shared" si="8"/>
        <v>90.66947856010667</v>
      </c>
    </row>
    <row r="282" spans="1:9" ht="24" outlineLevel="5">
      <c r="A282" s="45" t="s">
        <v>150</v>
      </c>
      <c r="B282" s="60" t="s">
        <v>39</v>
      </c>
      <c r="C282" s="60" t="s">
        <v>81</v>
      </c>
      <c r="D282" s="60" t="s">
        <v>23</v>
      </c>
      <c r="E282" s="62">
        <v>0</v>
      </c>
      <c r="F282" s="63">
        <v>600</v>
      </c>
      <c r="G282" s="102">
        <f>493.3-18.19163+39.06</f>
        <v>514.1683700000001</v>
      </c>
      <c r="H282" s="102">
        <v>466.19378</v>
      </c>
      <c r="I282" s="102">
        <f t="shared" si="8"/>
        <v>90.66947856010667</v>
      </c>
    </row>
    <row r="283" spans="1:9" ht="15.75" hidden="1" outlineLevel="5">
      <c r="A283" s="46" t="s">
        <v>79</v>
      </c>
      <c r="B283" s="60" t="s">
        <v>39</v>
      </c>
      <c r="C283" s="60" t="s">
        <v>82</v>
      </c>
      <c r="D283" s="60" t="s">
        <v>23</v>
      </c>
      <c r="E283" s="62">
        <v>0</v>
      </c>
      <c r="F283" s="63"/>
      <c r="G283" s="102">
        <f>SUM(G284+G285)</f>
        <v>0</v>
      </c>
      <c r="H283" s="102">
        <f>SUM(H284+H285)</f>
        <v>0</v>
      </c>
      <c r="I283" s="102" t="e">
        <f t="shared" si="8"/>
        <v>#DIV/0!</v>
      </c>
    </row>
    <row r="284" spans="1:9" ht="24" hidden="1" outlineLevel="5">
      <c r="A284" s="45" t="s">
        <v>150</v>
      </c>
      <c r="B284" s="60" t="s">
        <v>39</v>
      </c>
      <c r="C284" s="60" t="s">
        <v>82</v>
      </c>
      <c r="D284" s="60" t="s">
        <v>23</v>
      </c>
      <c r="E284" s="62">
        <v>0</v>
      </c>
      <c r="F284" s="63">
        <v>600</v>
      </c>
      <c r="G284" s="102">
        <v>0</v>
      </c>
      <c r="H284" s="102">
        <v>0</v>
      </c>
      <c r="I284" s="102" t="e">
        <f t="shared" si="8"/>
        <v>#DIV/0!</v>
      </c>
    </row>
    <row r="285" spans="1:9" ht="36" hidden="1" outlineLevel="5">
      <c r="A285" s="45" t="s">
        <v>299</v>
      </c>
      <c r="B285" s="60" t="s">
        <v>39</v>
      </c>
      <c r="C285" s="60" t="s">
        <v>82</v>
      </c>
      <c r="D285" s="60" t="s">
        <v>295</v>
      </c>
      <c r="E285" s="62">
        <v>0</v>
      </c>
      <c r="F285" s="63"/>
      <c r="G285" s="102">
        <f>SUM(G286)</f>
        <v>0</v>
      </c>
      <c r="H285" s="102">
        <f>SUM(H286)</f>
        <v>0</v>
      </c>
      <c r="I285" s="102" t="e">
        <f t="shared" si="8"/>
        <v>#DIV/0!</v>
      </c>
    </row>
    <row r="286" spans="1:9" ht="36" hidden="1" outlineLevel="5">
      <c r="A286" s="45" t="s">
        <v>301</v>
      </c>
      <c r="B286" s="60" t="s">
        <v>39</v>
      </c>
      <c r="C286" s="60" t="s">
        <v>82</v>
      </c>
      <c r="D286" s="60" t="s">
        <v>295</v>
      </c>
      <c r="E286" s="62">
        <v>0</v>
      </c>
      <c r="F286" s="63">
        <v>500</v>
      </c>
      <c r="G286" s="102">
        <v>0</v>
      </c>
      <c r="H286" s="102">
        <v>0</v>
      </c>
      <c r="I286" s="102" t="e">
        <f t="shared" si="8"/>
        <v>#DIV/0!</v>
      </c>
    </row>
    <row r="287" spans="1:9" ht="15.75" hidden="1" outlineLevel="5">
      <c r="A287" s="45" t="s">
        <v>204</v>
      </c>
      <c r="B287" s="60" t="s">
        <v>39</v>
      </c>
      <c r="C287" s="60" t="s">
        <v>205</v>
      </c>
      <c r="D287" s="60"/>
      <c r="E287" s="62"/>
      <c r="F287" s="63"/>
      <c r="G287" s="102">
        <f>SUM(G288)</f>
        <v>0</v>
      </c>
      <c r="H287" s="102">
        <f>SUM(H288)</f>
        <v>0</v>
      </c>
      <c r="I287" s="102" t="e">
        <f t="shared" si="8"/>
        <v>#DIV/0!</v>
      </c>
    </row>
    <row r="288" spans="1:9" ht="15.75" hidden="1" outlineLevel="5">
      <c r="A288" s="45" t="s">
        <v>206</v>
      </c>
      <c r="B288" s="60" t="s">
        <v>39</v>
      </c>
      <c r="C288" s="60" t="s">
        <v>207</v>
      </c>
      <c r="D288" s="60"/>
      <c r="E288" s="62"/>
      <c r="F288" s="63"/>
      <c r="G288" s="102">
        <f>SUM(G291)</f>
        <v>0</v>
      </c>
      <c r="H288" s="102">
        <f>SUM(H291)</f>
        <v>0</v>
      </c>
      <c r="I288" s="102" t="e">
        <f t="shared" si="8"/>
        <v>#DIV/0!</v>
      </c>
    </row>
    <row r="289" spans="1:9" ht="36" hidden="1" outlineLevel="5">
      <c r="A289" s="45" t="s">
        <v>243</v>
      </c>
      <c r="B289" s="60" t="s">
        <v>39</v>
      </c>
      <c r="C289" s="60" t="s">
        <v>207</v>
      </c>
      <c r="D289" s="60" t="s">
        <v>6</v>
      </c>
      <c r="E289" s="62">
        <v>0</v>
      </c>
      <c r="F289" s="63"/>
      <c r="G289" s="102">
        <f>SUM(G290)</f>
        <v>0</v>
      </c>
      <c r="H289" s="102">
        <f>SUM(H290)</f>
        <v>0</v>
      </c>
      <c r="I289" s="102" t="e">
        <f t="shared" si="8"/>
        <v>#DIV/0!</v>
      </c>
    </row>
    <row r="290" spans="1:9" ht="36" hidden="1" outlineLevel="5">
      <c r="A290" s="45" t="s">
        <v>195</v>
      </c>
      <c r="B290" s="60" t="s">
        <v>39</v>
      </c>
      <c r="C290" s="60" t="s">
        <v>207</v>
      </c>
      <c r="D290" s="60" t="s">
        <v>6</v>
      </c>
      <c r="E290" s="62">
        <v>3</v>
      </c>
      <c r="F290" s="61"/>
      <c r="G290" s="102">
        <f>SUM(G291:G291)</f>
        <v>0</v>
      </c>
      <c r="H290" s="102">
        <f>SUM(H291:H291)</f>
        <v>0</v>
      </c>
      <c r="I290" s="102" t="e">
        <f t="shared" si="8"/>
        <v>#DIV/0!</v>
      </c>
    </row>
    <row r="291" spans="1:9" ht="24" hidden="1" outlineLevel="5">
      <c r="A291" s="45" t="s">
        <v>153</v>
      </c>
      <c r="B291" s="60" t="s">
        <v>39</v>
      </c>
      <c r="C291" s="60" t="s">
        <v>207</v>
      </c>
      <c r="D291" s="60" t="s">
        <v>6</v>
      </c>
      <c r="E291" s="62">
        <v>3</v>
      </c>
      <c r="F291" s="61">
        <v>400</v>
      </c>
      <c r="G291" s="102">
        <v>0</v>
      </c>
      <c r="H291" s="102">
        <v>0</v>
      </c>
      <c r="I291" s="102" t="e">
        <f t="shared" si="8"/>
        <v>#DIV/0!</v>
      </c>
    </row>
    <row r="292" spans="1:9" ht="21" customHeight="1" outlineLevel="5">
      <c r="A292" s="45" t="s">
        <v>83</v>
      </c>
      <c r="B292" s="60" t="s">
        <v>39</v>
      </c>
      <c r="C292" s="60" t="s">
        <v>160</v>
      </c>
      <c r="D292" s="60"/>
      <c r="E292" s="62"/>
      <c r="F292" s="61"/>
      <c r="G292" s="102">
        <f>SUM(G293+G296+G309+G321)</f>
        <v>27915.57063</v>
      </c>
      <c r="H292" s="102">
        <f>SUM(H293+H296+H309+H321)</f>
        <v>27054.96842</v>
      </c>
      <c r="I292" s="102">
        <f t="shared" si="8"/>
        <v>96.91712477811528</v>
      </c>
    </row>
    <row r="293" spans="1:9" ht="19.5" customHeight="1" outlineLevel="5">
      <c r="A293" s="45" t="s">
        <v>84</v>
      </c>
      <c r="B293" s="60" t="s">
        <v>39</v>
      </c>
      <c r="C293" s="60" t="s">
        <v>85</v>
      </c>
      <c r="D293" s="60"/>
      <c r="E293" s="62"/>
      <c r="F293" s="61"/>
      <c r="G293" s="102">
        <f>SUM(G294)</f>
        <v>4583.02963</v>
      </c>
      <c r="H293" s="102">
        <f>SUM(H294)</f>
        <v>4583.02963</v>
      </c>
      <c r="I293" s="102">
        <f t="shared" si="8"/>
        <v>100</v>
      </c>
    </row>
    <row r="294" spans="1:9" ht="24" customHeight="1" outlineLevel="5">
      <c r="A294" s="45" t="s">
        <v>149</v>
      </c>
      <c r="B294" s="60" t="s">
        <v>39</v>
      </c>
      <c r="C294" s="60" t="s">
        <v>85</v>
      </c>
      <c r="D294" s="60" t="s">
        <v>16</v>
      </c>
      <c r="E294" s="62">
        <v>0</v>
      </c>
      <c r="F294" s="61"/>
      <c r="G294" s="102">
        <f>SUM(G295)</f>
        <v>4583.02963</v>
      </c>
      <c r="H294" s="102">
        <f>SUM(H295)</f>
        <v>4583.02963</v>
      </c>
      <c r="I294" s="102">
        <f t="shared" si="8"/>
        <v>100</v>
      </c>
    </row>
    <row r="295" spans="1:9" ht="15.75" outlineLevel="5">
      <c r="A295" s="45" t="s">
        <v>151</v>
      </c>
      <c r="B295" s="60" t="s">
        <v>39</v>
      </c>
      <c r="C295" s="60" t="s">
        <v>85</v>
      </c>
      <c r="D295" s="60" t="s">
        <v>16</v>
      </c>
      <c r="E295" s="62">
        <v>0</v>
      </c>
      <c r="F295" s="61">
        <v>300</v>
      </c>
      <c r="G295" s="102">
        <f>4000+225.259+168.6+189.17063</f>
        <v>4583.02963</v>
      </c>
      <c r="H295" s="102">
        <f>4000+225.259+168.6+189.17063</f>
        <v>4583.02963</v>
      </c>
      <c r="I295" s="102">
        <f t="shared" si="8"/>
        <v>100</v>
      </c>
    </row>
    <row r="296" spans="1:9" ht="18.75" customHeight="1" outlineLevel="5">
      <c r="A296" s="45" t="s">
        <v>86</v>
      </c>
      <c r="B296" s="60" t="s">
        <v>39</v>
      </c>
      <c r="C296" s="60" t="s">
        <v>88</v>
      </c>
      <c r="D296" s="60"/>
      <c r="E296" s="62"/>
      <c r="F296" s="61"/>
      <c r="G296" s="102">
        <f>SUM(G297+G299)</f>
        <v>15653.363</v>
      </c>
      <c r="H296" s="102">
        <f>SUM(H297+H299)</f>
        <v>14792.76079</v>
      </c>
      <c r="I296" s="102">
        <f t="shared" si="8"/>
        <v>94.50212577322841</v>
      </c>
    </row>
    <row r="297" spans="1:9" ht="58.5" customHeight="1" outlineLevel="5">
      <c r="A297" s="45" t="s">
        <v>245</v>
      </c>
      <c r="B297" s="60" t="s">
        <v>39</v>
      </c>
      <c r="C297" s="60" t="s">
        <v>88</v>
      </c>
      <c r="D297" s="60" t="s">
        <v>7</v>
      </c>
      <c r="E297" s="62">
        <v>0</v>
      </c>
      <c r="F297" s="61"/>
      <c r="G297" s="102">
        <f>SUM(G298)</f>
        <v>574.741</v>
      </c>
      <c r="H297" s="102">
        <f>SUM(H298)</f>
        <v>445.839</v>
      </c>
      <c r="I297" s="102">
        <f t="shared" si="8"/>
        <v>77.57215858969518</v>
      </c>
    </row>
    <row r="298" spans="1:9" ht="16.5" customHeight="1" outlineLevel="5">
      <c r="A298" s="45" t="s">
        <v>151</v>
      </c>
      <c r="B298" s="60" t="s">
        <v>39</v>
      </c>
      <c r="C298" s="60" t="s">
        <v>88</v>
      </c>
      <c r="D298" s="60" t="s">
        <v>7</v>
      </c>
      <c r="E298" s="62">
        <v>0</v>
      </c>
      <c r="F298" s="61">
        <v>300</v>
      </c>
      <c r="G298" s="102">
        <f>800-225.259</f>
        <v>574.741</v>
      </c>
      <c r="H298" s="102">
        <v>445.839</v>
      </c>
      <c r="I298" s="102">
        <f t="shared" si="8"/>
        <v>77.57215858969518</v>
      </c>
    </row>
    <row r="299" spans="1:9" ht="29.25" customHeight="1">
      <c r="A299" s="45" t="s">
        <v>149</v>
      </c>
      <c r="B299" s="60" t="s">
        <v>39</v>
      </c>
      <c r="C299" s="60" t="s">
        <v>88</v>
      </c>
      <c r="D299" s="60" t="s">
        <v>16</v>
      </c>
      <c r="E299" s="62">
        <v>0</v>
      </c>
      <c r="F299" s="61"/>
      <c r="G299" s="102">
        <f>SUM(G303+G306+G307+G308+G300)</f>
        <v>15078.622</v>
      </c>
      <c r="H299" s="102">
        <f>SUM(H303+H306+H307+H308+H300)</f>
        <v>14346.92179</v>
      </c>
      <c r="I299" s="102">
        <f t="shared" si="8"/>
        <v>95.14743316730136</v>
      </c>
    </row>
    <row r="300" spans="1:9" ht="18" customHeight="1">
      <c r="A300" s="45" t="s">
        <v>318</v>
      </c>
      <c r="B300" s="60" t="s">
        <v>39</v>
      </c>
      <c r="C300" s="60" t="s">
        <v>88</v>
      </c>
      <c r="D300" s="60" t="s">
        <v>16</v>
      </c>
      <c r="E300" s="62">
        <v>0</v>
      </c>
      <c r="F300" s="61"/>
      <c r="G300" s="102">
        <f>SUM(G301:G302)</f>
        <v>3054</v>
      </c>
      <c r="H300" s="102">
        <f>SUM(H301:H302)</f>
        <v>3000</v>
      </c>
      <c r="I300" s="102">
        <f t="shared" si="8"/>
        <v>98.23182711198429</v>
      </c>
    </row>
    <row r="301" spans="1:9" ht="18" customHeight="1">
      <c r="A301" s="45" t="s">
        <v>151</v>
      </c>
      <c r="B301" s="60" t="s">
        <v>39</v>
      </c>
      <c r="C301" s="60" t="s">
        <v>88</v>
      </c>
      <c r="D301" s="60" t="s">
        <v>16</v>
      </c>
      <c r="E301" s="62">
        <v>0</v>
      </c>
      <c r="F301" s="61">
        <v>300</v>
      </c>
      <c r="G301" s="102">
        <f>1018+1018+1018</f>
        <v>3054</v>
      </c>
      <c r="H301" s="102">
        <v>3000</v>
      </c>
      <c r="I301" s="102">
        <f t="shared" si="8"/>
        <v>98.23182711198429</v>
      </c>
    </row>
    <row r="302" spans="1:9" ht="0.75" customHeight="1" hidden="1">
      <c r="A302" s="45" t="s">
        <v>98</v>
      </c>
      <c r="B302" s="60" t="s">
        <v>39</v>
      </c>
      <c r="C302" s="60" t="s">
        <v>88</v>
      </c>
      <c r="D302" s="60" t="s">
        <v>16</v>
      </c>
      <c r="E302" s="62">
        <v>0</v>
      </c>
      <c r="F302" s="61">
        <v>200</v>
      </c>
      <c r="G302" s="102">
        <v>0</v>
      </c>
      <c r="H302" s="102">
        <v>0</v>
      </c>
      <c r="I302" s="102" t="e">
        <f t="shared" si="8"/>
        <v>#DIV/0!</v>
      </c>
    </row>
    <row r="303" spans="1:9" ht="84">
      <c r="A303" s="45" t="s">
        <v>102</v>
      </c>
      <c r="B303" s="60" t="s">
        <v>39</v>
      </c>
      <c r="C303" s="60" t="s">
        <v>88</v>
      </c>
      <c r="D303" s="60" t="s">
        <v>16</v>
      </c>
      <c r="E303" s="62">
        <v>0</v>
      </c>
      <c r="F303" s="61"/>
      <c r="G303" s="102">
        <f>SUM(G304:G305)</f>
        <v>7981.122</v>
      </c>
      <c r="H303" s="102">
        <f>SUM(H304:H305)</f>
        <v>7981.108</v>
      </c>
      <c r="I303" s="102">
        <f t="shared" si="8"/>
        <v>99.99982458606696</v>
      </c>
    </row>
    <row r="304" spans="1:9" ht="15.75">
      <c r="A304" s="45" t="s">
        <v>151</v>
      </c>
      <c r="B304" s="60" t="s">
        <v>39</v>
      </c>
      <c r="C304" s="60" t="s">
        <v>88</v>
      </c>
      <c r="D304" s="60" t="s">
        <v>16</v>
      </c>
      <c r="E304" s="62">
        <v>0</v>
      </c>
      <c r="F304" s="61">
        <v>300</v>
      </c>
      <c r="G304" s="102">
        <f>9924.643+125.8739-1275+12.6237-930.4951+44.43543</f>
        <v>7902.08093</v>
      </c>
      <c r="H304" s="102">
        <f>9924.643+125.8739-1275+12.6237-930.4951+44.43543</f>
        <v>7902.08093</v>
      </c>
      <c r="I304" s="102">
        <f t="shared" si="8"/>
        <v>100</v>
      </c>
    </row>
    <row r="305" spans="1:9" ht="26.25" customHeight="1">
      <c r="A305" s="45" t="s">
        <v>98</v>
      </c>
      <c r="B305" s="60" t="s">
        <v>39</v>
      </c>
      <c r="C305" s="60" t="s">
        <v>88</v>
      </c>
      <c r="D305" s="60" t="s">
        <v>16</v>
      </c>
      <c r="E305" s="62">
        <v>0</v>
      </c>
      <c r="F305" s="61">
        <v>200</v>
      </c>
      <c r="G305" s="102">
        <f>99.257+1.2481-12.6237-9.3049+0.46457</f>
        <v>79.04106999999999</v>
      </c>
      <c r="H305" s="102">
        <v>79.02707</v>
      </c>
      <c r="I305" s="102">
        <f t="shared" si="8"/>
        <v>99.98228768917224</v>
      </c>
    </row>
    <row r="306" spans="1:9" ht="67.5" customHeight="1">
      <c r="A306" s="45" t="s">
        <v>103</v>
      </c>
      <c r="B306" s="60" t="s">
        <v>39</v>
      </c>
      <c r="C306" s="60" t="s">
        <v>88</v>
      </c>
      <c r="D306" s="60" t="s">
        <v>16</v>
      </c>
      <c r="E306" s="62">
        <v>0</v>
      </c>
      <c r="F306" s="61">
        <v>300</v>
      </c>
      <c r="G306" s="102">
        <f>973.5+0.7-0.7</f>
        <v>973.5</v>
      </c>
      <c r="H306" s="102">
        <v>512.25034</v>
      </c>
      <c r="I306" s="102">
        <f t="shared" si="8"/>
        <v>52.619449409347716</v>
      </c>
    </row>
    <row r="307" spans="1:9" ht="63.75" customHeight="1">
      <c r="A307" s="45" t="s">
        <v>104</v>
      </c>
      <c r="B307" s="60" t="s">
        <v>39</v>
      </c>
      <c r="C307" s="60" t="s">
        <v>88</v>
      </c>
      <c r="D307" s="60" t="s">
        <v>16</v>
      </c>
      <c r="E307" s="62">
        <v>0</v>
      </c>
      <c r="F307" s="61">
        <v>300</v>
      </c>
      <c r="G307" s="102">
        <f>58-38</f>
        <v>20</v>
      </c>
      <c r="H307" s="102">
        <f>58-38</f>
        <v>20</v>
      </c>
      <c r="I307" s="102">
        <f t="shared" si="8"/>
        <v>100</v>
      </c>
    </row>
    <row r="308" spans="1:9" ht="60.75" customHeight="1">
      <c r="A308" s="45" t="s">
        <v>105</v>
      </c>
      <c r="B308" s="60" t="s">
        <v>39</v>
      </c>
      <c r="C308" s="60" t="s">
        <v>88</v>
      </c>
      <c r="D308" s="60" t="s">
        <v>16</v>
      </c>
      <c r="E308" s="62">
        <v>0</v>
      </c>
      <c r="F308" s="61">
        <v>300</v>
      </c>
      <c r="G308" s="102">
        <f>3484.8-434.8</f>
        <v>3050</v>
      </c>
      <c r="H308" s="102">
        <v>2833.56345</v>
      </c>
      <c r="I308" s="102">
        <f t="shared" si="8"/>
        <v>92.90371967213115</v>
      </c>
    </row>
    <row r="309" spans="1:9" ht="17.25" customHeight="1">
      <c r="A309" s="45" t="s">
        <v>87</v>
      </c>
      <c r="B309" s="60" t="s">
        <v>39</v>
      </c>
      <c r="C309" s="60" t="s">
        <v>89</v>
      </c>
      <c r="D309" s="60"/>
      <c r="E309" s="62"/>
      <c r="F309" s="61"/>
      <c r="G309" s="102">
        <f>SUM(G312+G310)</f>
        <v>6695.299999999999</v>
      </c>
      <c r="H309" s="102">
        <f>SUM(H312+H310)</f>
        <v>6695.299999999999</v>
      </c>
      <c r="I309" s="102">
        <f t="shared" si="8"/>
        <v>100</v>
      </c>
    </row>
    <row r="310" spans="1:9" ht="24" hidden="1">
      <c r="A310" s="45" t="s">
        <v>241</v>
      </c>
      <c r="B310" s="60" t="s">
        <v>39</v>
      </c>
      <c r="C310" s="60" t="s">
        <v>89</v>
      </c>
      <c r="D310" s="60" t="s">
        <v>242</v>
      </c>
      <c r="E310" s="62">
        <v>0</v>
      </c>
      <c r="F310" s="61"/>
      <c r="G310" s="102">
        <f>SUM(G311)</f>
        <v>0</v>
      </c>
      <c r="H310" s="102">
        <f>SUM(H311)</f>
        <v>0</v>
      </c>
      <c r="I310" s="102" t="e">
        <f t="shared" si="8"/>
        <v>#DIV/0!</v>
      </c>
    </row>
    <row r="311" spans="1:9" ht="15.75" hidden="1">
      <c r="A311" s="45" t="s">
        <v>151</v>
      </c>
      <c r="B311" s="60" t="s">
        <v>39</v>
      </c>
      <c r="C311" s="60" t="s">
        <v>89</v>
      </c>
      <c r="D311" s="60" t="s">
        <v>242</v>
      </c>
      <c r="E311" s="62">
        <v>0</v>
      </c>
      <c r="F311" s="61">
        <v>300</v>
      </c>
      <c r="G311" s="102">
        <v>0</v>
      </c>
      <c r="H311" s="102">
        <v>0</v>
      </c>
      <c r="I311" s="102" t="e">
        <f t="shared" si="8"/>
        <v>#DIV/0!</v>
      </c>
    </row>
    <row r="312" spans="1:9" ht="27.75" customHeight="1">
      <c r="A312" s="45" t="s">
        <v>149</v>
      </c>
      <c r="B312" s="60" t="s">
        <v>39</v>
      </c>
      <c r="C312" s="60" t="s">
        <v>89</v>
      </c>
      <c r="D312" s="60" t="s">
        <v>16</v>
      </c>
      <c r="E312" s="62">
        <v>0</v>
      </c>
      <c r="F312" s="61"/>
      <c r="G312" s="102">
        <f>SUM(G313+G316+G319)</f>
        <v>6695.299999999999</v>
      </c>
      <c r="H312" s="102">
        <f>SUM(H313+H316+H319)</f>
        <v>6695.299999999999</v>
      </c>
      <c r="I312" s="102">
        <f t="shared" si="8"/>
        <v>100</v>
      </c>
    </row>
    <row r="313" spans="1:9" ht="48.75" customHeight="1">
      <c r="A313" s="45" t="s">
        <v>106</v>
      </c>
      <c r="B313" s="60" t="s">
        <v>39</v>
      </c>
      <c r="C313" s="60" t="s">
        <v>89</v>
      </c>
      <c r="D313" s="60" t="s">
        <v>16</v>
      </c>
      <c r="E313" s="62">
        <v>0</v>
      </c>
      <c r="F313" s="61"/>
      <c r="G313" s="102">
        <f>SUM(G314:G315)</f>
        <v>120.00000000000004</v>
      </c>
      <c r="H313" s="102">
        <f>SUM(H314:H315)</f>
        <v>120.00000000000004</v>
      </c>
      <c r="I313" s="102">
        <f t="shared" si="8"/>
        <v>100</v>
      </c>
    </row>
    <row r="314" spans="1:9" ht="14.25" customHeight="1">
      <c r="A314" s="45" t="s">
        <v>151</v>
      </c>
      <c r="B314" s="60" t="s">
        <v>39</v>
      </c>
      <c r="C314" s="60" t="s">
        <v>89</v>
      </c>
      <c r="D314" s="60" t="s">
        <v>16</v>
      </c>
      <c r="E314" s="62">
        <v>0</v>
      </c>
      <c r="F314" s="61">
        <v>300</v>
      </c>
      <c r="G314" s="102">
        <f>856.2377-737.4258</f>
        <v>118.81190000000004</v>
      </c>
      <c r="H314" s="102">
        <f>856.2377-737.4258</f>
        <v>118.81190000000004</v>
      </c>
      <c r="I314" s="102">
        <f t="shared" si="8"/>
        <v>100</v>
      </c>
    </row>
    <row r="315" spans="1:9" ht="23.25" customHeight="1">
      <c r="A315" s="45" t="s">
        <v>98</v>
      </c>
      <c r="B315" s="60" t="s">
        <v>39</v>
      </c>
      <c r="C315" s="60" t="s">
        <v>89</v>
      </c>
      <c r="D315" s="60" t="s">
        <v>16</v>
      </c>
      <c r="E315" s="62">
        <v>0</v>
      </c>
      <c r="F315" s="61">
        <v>200</v>
      </c>
      <c r="G315" s="102">
        <f>8.5623-7.3742</f>
        <v>1.1881000000000004</v>
      </c>
      <c r="H315" s="102">
        <f>8.5623-7.3742</f>
        <v>1.1881000000000004</v>
      </c>
      <c r="I315" s="102">
        <f t="shared" si="8"/>
        <v>100</v>
      </c>
    </row>
    <row r="316" spans="1:9" ht="96">
      <c r="A316" s="45" t="s">
        <v>223</v>
      </c>
      <c r="B316" s="60" t="s">
        <v>39</v>
      </c>
      <c r="C316" s="60" t="s">
        <v>89</v>
      </c>
      <c r="D316" s="60" t="s">
        <v>16</v>
      </c>
      <c r="E316" s="100">
        <v>0</v>
      </c>
      <c r="F316" s="61"/>
      <c r="G316" s="102">
        <f>SUM(G317:G318)</f>
        <v>6575.299999999999</v>
      </c>
      <c r="H316" s="102">
        <f>SUM(H317:H318)</f>
        <v>6575.299999999999</v>
      </c>
      <c r="I316" s="102">
        <f t="shared" si="8"/>
        <v>100</v>
      </c>
    </row>
    <row r="317" spans="1:9" ht="15.75">
      <c r="A317" s="45" t="s">
        <v>107</v>
      </c>
      <c r="B317" s="60" t="s">
        <v>39</v>
      </c>
      <c r="C317" s="60" t="s">
        <v>89</v>
      </c>
      <c r="D317" s="60" t="s">
        <v>16</v>
      </c>
      <c r="E317" s="62">
        <v>0</v>
      </c>
      <c r="F317" s="61">
        <v>300</v>
      </c>
      <c r="G317" s="102">
        <f>5407.7-240-174.8</f>
        <v>4992.9</v>
      </c>
      <c r="H317" s="102">
        <f>5407.7-240-174.8</f>
        <v>4992.9</v>
      </c>
      <c r="I317" s="102">
        <f t="shared" si="8"/>
        <v>100</v>
      </c>
    </row>
    <row r="318" spans="1:9" ht="26.25" customHeight="1">
      <c r="A318" s="45" t="s">
        <v>108</v>
      </c>
      <c r="B318" s="60" t="s">
        <v>39</v>
      </c>
      <c r="C318" s="60" t="s">
        <v>89</v>
      </c>
      <c r="D318" s="60" t="s">
        <v>16</v>
      </c>
      <c r="E318" s="62">
        <v>0</v>
      </c>
      <c r="F318" s="61">
        <v>300</v>
      </c>
      <c r="G318" s="102">
        <f>1392.9+61.5+128</f>
        <v>1582.4</v>
      </c>
      <c r="H318" s="102">
        <f>1392.9+61.5+128</f>
        <v>1582.4</v>
      </c>
      <c r="I318" s="102">
        <f t="shared" si="8"/>
        <v>100</v>
      </c>
    </row>
    <row r="319" spans="1:9" ht="39.75" customHeight="1">
      <c r="A319" s="45" t="s">
        <v>315</v>
      </c>
      <c r="B319" s="60" t="s">
        <v>39</v>
      </c>
      <c r="C319" s="60" t="s">
        <v>89</v>
      </c>
      <c r="D319" s="60" t="s">
        <v>16</v>
      </c>
      <c r="E319" s="100">
        <v>0</v>
      </c>
      <c r="F319" s="61"/>
      <c r="G319" s="102">
        <f>SUM(G320)</f>
        <v>-2.0095036745715333E-14</v>
      </c>
      <c r="H319" s="102">
        <f>SUM(H320)</f>
        <v>-2.0095036745715333E-14</v>
      </c>
      <c r="I319" s="102">
        <f t="shared" si="8"/>
        <v>100</v>
      </c>
    </row>
    <row r="320" spans="1:9" ht="26.25" customHeight="1">
      <c r="A320" s="45" t="s">
        <v>98</v>
      </c>
      <c r="B320" s="60" t="s">
        <v>39</v>
      </c>
      <c r="C320" s="60" t="s">
        <v>89</v>
      </c>
      <c r="D320" s="60" t="s">
        <v>16</v>
      </c>
      <c r="E320" s="62">
        <v>0</v>
      </c>
      <c r="F320" s="61">
        <v>200</v>
      </c>
      <c r="G320" s="102">
        <f>299.2+0.06401-298.28422-0.97979</f>
        <v>-2.0095036745715333E-14</v>
      </c>
      <c r="H320" s="102">
        <f>299.2+0.06401-298.28422-0.97979</f>
        <v>-2.0095036745715333E-14</v>
      </c>
      <c r="I320" s="102">
        <f t="shared" si="8"/>
        <v>100</v>
      </c>
    </row>
    <row r="321" spans="1:9" ht="15.75">
      <c r="A321" s="45" t="s">
        <v>216</v>
      </c>
      <c r="B321" s="60" t="s">
        <v>39</v>
      </c>
      <c r="C321" s="60" t="s">
        <v>215</v>
      </c>
      <c r="D321" s="60"/>
      <c r="E321" s="62"/>
      <c r="F321" s="61"/>
      <c r="G321" s="102">
        <f>SUM(G322)</f>
        <v>983.8779999999999</v>
      </c>
      <c r="H321" s="102">
        <f>SUM(H322)</f>
        <v>983.8779999999999</v>
      </c>
      <c r="I321" s="102">
        <f t="shared" si="8"/>
        <v>100</v>
      </c>
    </row>
    <row r="322" spans="1:9" ht="24">
      <c r="A322" s="45" t="s">
        <v>149</v>
      </c>
      <c r="B322" s="60" t="s">
        <v>39</v>
      </c>
      <c r="C322" s="60" t="s">
        <v>215</v>
      </c>
      <c r="D322" s="60" t="s">
        <v>16</v>
      </c>
      <c r="E322" s="62">
        <v>0</v>
      </c>
      <c r="F322" s="61"/>
      <c r="G322" s="102">
        <f>SUM(G323)</f>
        <v>983.8779999999999</v>
      </c>
      <c r="H322" s="102">
        <f>SUM(H323)</f>
        <v>983.8779999999999</v>
      </c>
      <c r="I322" s="102">
        <f t="shared" si="8"/>
        <v>100</v>
      </c>
    </row>
    <row r="323" spans="1:9" ht="84">
      <c r="A323" s="45" t="s">
        <v>102</v>
      </c>
      <c r="B323" s="60" t="s">
        <v>39</v>
      </c>
      <c r="C323" s="60" t="s">
        <v>215</v>
      </c>
      <c r="D323" s="60" t="s">
        <v>16</v>
      </c>
      <c r="E323" s="62">
        <v>0</v>
      </c>
      <c r="F323" s="61"/>
      <c r="G323" s="102">
        <f>SUM(G324:G325)</f>
        <v>983.8779999999999</v>
      </c>
      <c r="H323" s="102">
        <f>SUM(H324:H325)</f>
        <v>983.8779999999999</v>
      </c>
      <c r="I323" s="102">
        <f t="shared" si="8"/>
        <v>100</v>
      </c>
    </row>
    <row r="324" spans="1:9" ht="43.5" customHeight="1">
      <c r="A324" s="45" t="s">
        <v>97</v>
      </c>
      <c r="B324" s="60" t="s">
        <v>39</v>
      </c>
      <c r="C324" s="60" t="s">
        <v>215</v>
      </c>
      <c r="D324" s="60" t="s">
        <v>16</v>
      </c>
      <c r="E324" s="62">
        <v>0</v>
      </c>
      <c r="F324" s="61">
        <v>100</v>
      </c>
      <c r="G324" s="102">
        <f>1000-42.34-31.6719-2.01412</f>
        <v>923.9739799999999</v>
      </c>
      <c r="H324" s="102">
        <f>1000-42.34-31.6719-2.01412</f>
        <v>923.9739799999999</v>
      </c>
      <c r="I324" s="102">
        <f t="shared" si="8"/>
        <v>100</v>
      </c>
    </row>
    <row r="325" spans="1:9" ht="25.5" customHeight="1">
      <c r="A325" s="45" t="s">
        <v>98</v>
      </c>
      <c r="B325" s="60" t="s">
        <v>39</v>
      </c>
      <c r="C325" s="60" t="s">
        <v>215</v>
      </c>
      <c r="D325" s="60" t="s">
        <v>16</v>
      </c>
      <c r="E325" s="62">
        <v>0</v>
      </c>
      <c r="F325" s="61">
        <v>200</v>
      </c>
      <c r="G325" s="102">
        <f>100-84.782+31.6719+13.01412</f>
        <v>59.90402</v>
      </c>
      <c r="H325" s="102">
        <f>100-84.782+31.6719+13.01412</f>
        <v>59.90402</v>
      </c>
      <c r="I325" s="102">
        <f t="shared" si="8"/>
        <v>100</v>
      </c>
    </row>
    <row r="326" spans="1:9" ht="20.25" customHeight="1">
      <c r="A326" s="45" t="s">
        <v>90</v>
      </c>
      <c r="B326" s="60" t="s">
        <v>39</v>
      </c>
      <c r="C326" s="60" t="s">
        <v>131</v>
      </c>
      <c r="D326" s="60"/>
      <c r="E326" s="62"/>
      <c r="F326" s="61"/>
      <c r="G326" s="102">
        <f>SUM(G335+G331+G327)</f>
        <v>371.6338</v>
      </c>
      <c r="H326" s="102">
        <f>SUM(H335+H331+H327)</f>
        <v>371.6338</v>
      </c>
      <c r="I326" s="102">
        <f t="shared" si="8"/>
        <v>100</v>
      </c>
    </row>
    <row r="327" spans="1:9" ht="20.25" customHeight="1" hidden="1">
      <c r="A327" s="45" t="s">
        <v>262</v>
      </c>
      <c r="B327" s="60" t="s">
        <v>39</v>
      </c>
      <c r="C327" s="60" t="s">
        <v>208</v>
      </c>
      <c r="D327" s="60"/>
      <c r="E327" s="62"/>
      <c r="F327" s="61"/>
      <c r="G327" s="102">
        <f>SUM(G328)</f>
        <v>0</v>
      </c>
      <c r="H327" s="102">
        <f>SUM(H328)</f>
        <v>0</v>
      </c>
      <c r="I327" s="102" t="e">
        <f t="shared" si="8"/>
        <v>#DIV/0!</v>
      </c>
    </row>
    <row r="328" spans="1:9" ht="20.25" customHeight="1" hidden="1">
      <c r="A328" s="45" t="s">
        <v>260</v>
      </c>
      <c r="B328" s="60" t="s">
        <v>39</v>
      </c>
      <c r="C328" s="60" t="s">
        <v>208</v>
      </c>
      <c r="D328" s="60" t="s">
        <v>12</v>
      </c>
      <c r="E328" s="62">
        <v>0</v>
      </c>
      <c r="F328" s="61"/>
      <c r="G328" s="102">
        <f>SUM(G329:G330)</f>
        <v>0</v>
      </c>
      <c r="H328" s="102">
        <f>SUM(H329:H330)</f>
        <v>0</v>
      </c>
      <c r="I328" s="102" t="e">
        <f t="shared" si="8"/>
        <v>#DIV/0!</v>
      </c>
    </row>
    <row r="329" spans="1:9" ht="20.25" customHeight="1" hidden="1">
      <c r="A329" s="45" t="s">
        <v>269</v>
      </c>
      <c r="B329" s="60" t="s">
        <v>39</v>
      </c>
      <c r="C329" s="60" t="s">
        <v>208</v>
      </c>
      <c r="D329" s="60" t="s">
        <v>12</v>
      </c>
      <c r="E329" s="62">
        <v>0</v>
      </c>
      <c r="F329" s="61">
        <v>400</v>
      </c>
      <c r="G329" s="102">
        <v>0</v>
      </c>
      <c r="H329" s="102">
        <v>0</v>
      </c>
      <c r="I329" s="102" t="e">
        <f t="shared" si="8"/>
        <v>#DIV/0!</v>
      </c>
    </row>
    <row r="330" spans="1:9" ht="20.25" customHeight="1" hidden="1">
      <c r="A330" s="45" t="s">
        <v>261</v>
      </c>
      <c r="B330" s="60" t="s">
        <v>39</v>
      </c>
      <c r="C330" s="60" t="s">
        <v>208</v>
      </c>
      <c r="D330" s="60" t="s">
        <v>12</v>
      </c>
      <c r="E330" s="62">
        <v>0</v>
      </c>
      <c r="F330" s="61">
        <v>400</v>
      </c>
      <c r="G330" s="102">
        <v>0</v>
      </c>
      <c r="H330" s="102">
        <v>0</v>
      </c>
      <c r="I330" s="102" t="e">
        <f t="shared" si="8"/>
        <v>#DIV/0!</v>
      </c>
    </row>
    <row r="331" spans="1:9" ht="15.75" hidden="1">
      <c r="A331" s="45" t="s">
        <v>258</v>
      </c>
      <c r="B331" s="60" t="s">
        <v>39</v>
      </c>
      <c r="C331" s="60" t="s">
        <v>257</v>
      </c>
      <c r="D331" s="60"/>
      <c r="E331" s="62"/>
      <c r="F331" s="61"/>
      <c r="G331" s="102">
        <f>SUM(G332)</f>
        <v>0</v>
      </c>
      <c r="H331" s="102">
        <f>SUM(H332)</f>
        <v>0</v>
      </c>
      <c r="I331" s="102" t="e">
        <f aca="true" t="shared" si="9" ref="I331:I351">SUM(H331/G331)*100</f>
        <v>#DIV/0!</v>
      </c>
    </row>
    <row r="332" spans="1:9" ht="24" hidden="1">
      <c r="A332" s="45" t="s">
        <v>233</v>
      </c>
      <c r="B332" s="60" t="s">
        <v>39</v>
      </c>
      <c r="C332" s="60" t="s">
        <v>257</v>
      </c>
      <c r="D332" s="60" t="s">
        <v>18</v>
      </c>
      <c r="E332" s="62">
        <v>0</v>
      </c>
      <c r="F332" s="61"/>
      <c r="G332" s="102">
        <f>SUM(G333:G334)</f>
        <v>0</v>
      </c>
      <c r="H332" s="102">
        <f>SUM(H333:H334)</f>
        <v>0</v>
      </c>
      <c r="I332" s="102" t="e">
        <f t="shared" si="9"/>
        <v>#DIV/0!</v>
      </c>
    </row>
    <row r="333" spans="1:9" ht="36" hidden="1">
      <c r="A333" s="45" t="s">
        <v>287</v>
      </c>
      <c r="B333" s="60" t="s">
        <v>39</v>
      </c>
      <c r="C333" s="60" t="s">
        <v>257</v>
      </c>
      <c r="D333" s="60" t="s">
        <v>18</v>
      </c>
      <c r="E333" s="62">
        <v>0</v>
      </c>
      <c r="F333" s="61">
        <v>400</v>
      </c>
      <c r="G333" s="102">
        <v>0</v>
      </c>
      <c r="H333" s="102">
        <v>0</v>
      </c>
      <c r="I333" s="102" t="e">
        <f t="shared" si="9"/>
        <v>#DIV/0!</v>
      </c>
    </row>
    <row r="334" spans="1:9" ht="24" hidden="1">
      <c r="A334" s="45" t="s">
        <v>153</v>
      </c>
      <c r="B334" s="60" t="s">
        <v>39</v>
      </c>
      <c r="C334" s="60" t="s">
        <v>257</v>
      </c>
      <c r="D334" s="60" t="s">
        <v>18</v>
      </c>
      <c r="E334" s="62">
        <v>0</v>
      </c>
      <c r="F334" s="61">
        <v>400</v>
      </c>
      <c r="G334" s="102">
        <v>0</v>
      </c>
      <c r="H334" s="102">
        <v>0</v>
      </c>
      <c r="I334" s="102" t="e">
        <f t="shared" si="9"/>
        <v>#DIV/0!</v>
      </c>
    </row>
    <row r="335" spans="1:9" ht="15.75">
      <c r="A335" s="45" t="s">
        <v>209</v>
      </c>
      <c r="B335" s="60" t="s">
        <v>39</v>
      </c>
      <c r="C335" s="60" t="s">
        <v>91</v>
      </c>
      <c r="D335" s="60"/>
      <c r="E335" s="62"/>
      <c r="F335" s="61"/>
      <c r="G335" s="102">
        <f>SUM(G336)</f>
        <v>371.6338</v>
      </c>
      <c r="H335" s="102">
        <f>SUM(H336)</f>
        <v>371.6338</v>
      </c>
      <c r="I335" s="102">
        <f t="shared" si="9"/>
        <v>100</v>
      </c>
    </row>
    <row r="336" spans="1:9" ht="24">
      <c r="A336" s="45" t="s">
        <v>233</v>
      </c>
      <c r="B336" s="60" t="s">
        <v>39</v>
      </c>
      <c r="C336" s="60" t="s">
        <v>91</v>
      </c>
      <c r="D336" s="60" t="s">
        <v>18</v>
      </c>
      <c r="E336" s="62">
        <v>0</v>
      </c>
      <c r="F336" s="61"/>
      <c r="G336" s="102">
        <f>SUM(G337)</f>
        <v>371.6338</v>
      </c>
      <c r="H336" s="102">
        <f>SUM(H337)</f>
        <v>371.6338</v>
      </c>
      <c r="I336" s="102">
        <f t="shared" si="9"/>
        <v>100</v>
      </c>
    </row>
    <row r="337" spans="1:9" ht="24" customHeight="1">
      <c r="A337" s="45" t="s">
        <v>98</v>
      </c>
      <c r="B337" s="60" t="s">
        <v>39</v>
      </c>
      <c r="C337" s="60" t="s">
        <v>91</v>
      </c>
      <c r="D337" s="60" t="s">
        <v>18</v>
      </c>
      <c r="E337" s="62">
        <v>0</v>
      </c>
      <c r="F337" s="61">
        <v>200</v>
      </c>
      <c r="G337" s="102">
        <f>500+10-10-100-9.3662-19</f>
        <v>371.6338</v>
      </c>
      <c r="H337" s="102">
        <f>500+10-10-100-9.3662-19</f>
        <v>371.6338</v>
      </c>
      <c r="I337" s="102">
        <f t="shared" si="9"/>
        <v>100</v>
      </c>
    </row>
    <row r="338" spans="1:9" ht="15.75">
      <c r="A338" s="45" t="s">
        <v>92</v>
      </c>
      <c r="B338" s="60" t="s">
        <v>39</v>
      </c>
      <c r="C338" s="60" t="s">
        <v>132</v>
      </c>
      <c r="D338" s="60"/>
      <c r="E338" s="62"/>
      <c r="F338" s="61"/>
      <c r="G338" s="102">
        <f>SUM(G340)</f>
        <v>2147.7</v>
      </c>
      <c r="H338" s="102">
        <f>SUM(H340)</f>
        <v>2147.7</v>
      </c>
      <c r="I338" s="102">
        <f t="shared" si="9"/>
        <v>100</v>
      </c>
    </row>
    <row r="339" spans="1:9" ht="18.75" customHeight="1">
      <c r="A339" s="45" t="s">
        <v>328</v>
      </c>
      <c r="B339" s="60" t="s">
        <v>39</v>
      </c>
      <c r="C339" s="60" t="s">
        <v>93</v>
      </c>
      <c r="D339" s="60"/>
      <c r="E339" s="62"/>
      <c r="F339" s="101"/>
      <c r="G339" s="102">
        <f>SUM(G340)</f>
        <v>2147.7</v>
      </c>
      <c r="H339" s="102">
        <f>SUM(H340)</f>
        <v>2147.7</v>
      </c>
      <c r="I339" s="102">
        <f t="shared" si="9"/>
        <v>100</v>
      </c>
    </row>
    <row r="340" spans="1:9" ht="24.75" customHeight="1">
      <c r="A340" s="45" t="s">
        <v>304</v>
      </c>
      <c r="B340" s="60" t="s">
        <v>39</v>
      </c>
      <c r="C340" s="60" t="s">
        <v>93</v>
      </c>
      <c r="D340" s="60" t="s">
        <v>135</v>
      </c>
      <c r="E340" s="62">
        <v>0</v>
      </c>
      <c r="F340" s="61"/>
      <c r="G340" s="102">
        <f>SUM(G341:G342)</f>
        <v>2147.7</v>
      </c>
      <c r="H340" s="102">
        <f>SUM(H341:H342)</f>
        <v>2147.7</v>
      </c>
      <c r="I340" s="102">
        <f t="shared" si="9"/>
        <v>100</v>
      </c>
    </row>
    <row r="341" spans="1:9" ht="24">
      <c r="A341" s="45" t="s">
        <v>150</v>
      </c>
      <c r="B341" s="60" t="s">
        <v>39</v>
      </c>
      <c r="C341" s="60" t="s">
        <v>93</v>
      </c>
      <c r="D341" s="60" t="s">
        <v>135</v>
      </c>
      <c r="E341" s="62">
        <v>0</v>
      </c>
      <c r="F341" s="61">
        <v>600</v>
      </c>
      <c r="G341" s="102">
        <v>1200</v>
      </c>
      <c r="H341" s="102">
        <v>1200</v>
      </c>
      <c r="I341" s="102">
        <f t="shared" si="9"/>
        <v>100</v>
      </c>
    </row>
    <row r="342" spans="1:9" ht="84">
      <c r="A342" s="45" t="s">
        <v>193</v>
      </c>
      <c r="B342" s="60" t="s">
        <v>39</v>
      </c>
      <c r="C342" s="60" t="s">
        <v>93</v>
      </c>
      <c r="D342" s="60" t="s">
        <v>135</v>
      </c>
      <c r="E342" s="62">
        <v>0</v>
      </c>
      <c r="F342" s="61">
        <v>600</v>
      </c>
      <c r="G342" s="102">
        <f>1071.5-123.8</f>
        <v>947.7</v>
      </c>
      <c r="H342" s="102">
        <f>1071.5-123.8</f>
        <v>947.7</v>
      </c>
      <c r="I342" s="102">
        <f t="shared" si="9"/>
        <v>100</v>
      </c>
    </row>
    <row r="343" spans="1:9" ht="15.75">
      <c r="A343" s="45" t="s">
        <v>329</v>
      </c>
      <c r="B343" s="60" t="s">
        <v>39</v>
      </c>
      <c r="C343" s="60" t="s">
        <v>133</v>
      </c>
      <c r="D343" s="60"/>
      <c r="E343" s="62"/>
      <c r="F343" s="61"/>
      <c r="G343" s="102">
        <f>SUM(G346)</f>
        <v>1099.2958800000001</v>
      </c>
      <c r="H343" s="102">
        <f>SUM(H346)</f>
        <v>1099.2958800000001</v>
      </c>
      <c r="I343" s="102">
        <f t="shared" si="9"/>
        <v>100</v>
      </c>
    </row>
    <row r="344" spans="1:9" ht="15.75">
      <c r="A344" s="45" t="s">
        <v>313</v>
      </c>
      <c r="B344" s="60" t="s">
        <v>39</v>
      </c>
      <c r="C344" s="60" t="s">
        <v>94</v>
      </c>
      <c r="D344" s="60"/>
      <c r="E344" s="62"/>
      <c r="F344" s="61"/>
      <c r="G344" s="102">
        <f>SUM(G345)</f>
        <v>1099.2958800000001</v>
      </c>
      <c r="H344" s="102">
        <f>SUM(H345)</f>
        <v>1099.2958800000001</v>
      </c>
      <c r="I344" s="102">
        <f t="shared" si="9"/>
        <v>100</v>
      </c>
    </row>
    <row r="345" spans="1:9" ht="24">
      <c r="A345" s="45" t="s">
        <v>149</v>
      </c>
      <c r="B345" s="60" t="s">
        <v>39</v>
      </c>
      <c r="C345" s="60" t="s">
        <v>94</v>
      </c>
      <c r="D345" s="60" t="s">
        <v>16</v>
      </c>
      <c r="E345" s="62">
        <v>0</v>
      </c>
      <c r="F345" s="61"/>
      <c r="G345" s="102">
        <f>SUM(G346)</f>
        <v>1099.2958800000001</v>
      </c>
      <c r="H345" s="102">
        <f>SUM(H346)</f>
        <v>1099.2958800000001</v>
      </c>
      <c r="I345" s="102">
        <f t="shared" si="9"/>
        <v>100</v>
      </c>
    </row>
    <row r="346" spans="1:9" ht="15.75">
      <c r="A346" s="45" t="s">
        <v>332</v>
      </c>
      <c r="B346" s="60" t="s">
        <v>39</v>
      </c>
      <c r="C346" s="60" t="s">
        <v>94</v>
      </c>
      <c r="D346" s="60" t="s">
        <v>16</v>
      </c>
      <c r="E346" s="62">
        <v>0</v>
      </c>
      <c r="F346" s="61">
        <v>700</v>
      </c>
      <c r="G346" s="102">
        <f>6+900+64+400-270.70412</f>
        <v>1099.2958800000001</v>
      </c>
      <c r="H346" s="102">
        <f>6+900+64+400-270.70412</f>
        <v>1099.2958800000001</v>
      </c>
      <c r="I346" s="102">
        <f t="shared" si="9"/>
        <v>100</v>
      </c>
    </row>
    <row r="347" spans="1:9" ht="24">
      <c r="A347" s="45" t="s">
        <v>331</v>
      </c>
      <c r="B347" s="60" t="s">
        <v>39</v>
      </c>
      <c r="C347" s="60" t="s">
        <v>162</v>
      </c>
      <c r="D347" s="60"/>
      <c r="E347" s="62"/>
      <c r="F347" s="61"/>
      <c r="G347" s="102">
        <f aca="true" t="shared" si="10" ref="G347:H349">SUM(G348)</f>
        <v>21884.85879</v>
      </c>
      <c r="H347" s="102">
        <f t="shared" si="10"/>
        <v>21884.85879</v>
      </c>
      <c r="I347" s="102">
        <f t="shared" si="9"/>
        <v>100</v>
      </c>
    </row>
    <row r="348" spans="1:9" ht="15.75">
      <c r="A348" s="45" t="s">
        <v>163</v>
      </c>
      <c r="B348" s="60" t="s">
        <v>39</v>
      </c>
      <c r="C348" s="60" t="s">
        <v>164</v>
      </c>
      <c r="D348" s="60"/>
      <c r="E348" s="62"/>
      <c r="F348" s="61"/>
      <c r="G348" s="102">
        <f t="shared" si="10"/>
        <v>21884.85879</v>
      </c>
      <c r="H348" s="102">
        <f t="shared" si="10"/>
        <v>21884.85879</v>
      </c>
      <c r="I348" s="102">
        <f t="shared" si="9"/>
        <v>100</v>
      </c>
    </row>
    <row r="349" spans="1:9" ht="24">
      <c r="A349" s="45" t="s">
        <v>149</v>
      </c>
      <c r="B349" s="60" t="s">
        <v>39</v>
      </c>
      <c r="C349" s="60" t="s">
        <v>164</v>
      </c>
      <c r="D349" s="60" t="s">
        <v>16</v>
      </c>
      <c r="E349" s="62">
        <v>0</v>
      </c>
      <c r="F349" s="61"/>
      <c r="G349" s="102">
        <f t="shared" si="10"/>
        <v>21884.85879</v>
      </c>
      <c r="H349" s="102">
        <f t="shared" si="10"/>
        <v>21884.85879</v>
      </c>
      <c r="I349" s="102">
        <f t="shared" si="9"/>
        <v>100</v>
      </c>
    </row>
    <row r="350" spans="1:9" ht="15.75">
      <c r="A350" s="45" t="s">
        <v>152</v>
      </c>
      <c r="B350" s="60" t="s">
        <v>39</v>
      </c>
      <c r="C350" s="60" t="s">
        <v>164</v>
      </c>
      <c r="D350" s="60" t="s">
        <v>16</v>
      </c>
      <c r="E350" s="62">
        <v>0</v>
      </c>
      <c r="F350" s="61">
        <v>500</v>
      </c>
      <c r="G350" s="102">
        <f>15643.5+1700+500+4041.35879</f>
        <v>21884.85879</v>
      </c>
      <c r="H350" s="102">
        <f>15643.5+1700+500+4041.35879</f>
        <v>21884.85879</v>
      </c>
      <c r="I350" s="102">
        <f t="shared" si="9"/>
        <v>100</v>
      </c>
    </row>
    <row r="351" spans="1:9" ht="15.75">
      <c r="A351" s="45" t="s">
        <v>95</v>
      </c>
      <c r="B351" s="60"/>
      <c r="C351" s="60"/>
      <c r="D351" s="60"/>
      <c r="E351" s="62"/>
      <c r="F351" s="61"/>
      <c r="G351" s="102">
        <f>SUM(G11+G19+G27)</f>
        <v>530329.0213</v>
      </c>
      <c r="H351" s="102">
        <f>SUM(H11+H19+H27)</f>
        <v>487406.93446</v>
      </c>
      <c r="I351" s="102">
        <f t="shared" si="9"/>
        <v>91.90651744179779</v>
      </c>
    </row>
  </sheetData>
  <sheetProtection/>
  <mergeCells count="7">
    <mergeCell ref="G4:I4"/>
    <mergeCell ref="G9:H9"/>
    <mergeCell ref="G1:I1"/>
    <mergeCell ref="G2:I2"/>
    <mergeCell ref="G3:I3"/>
    <mergeCell ref="A7:I7"/>
    <mergeCell ref="E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="110" zoomScaleNormal="110" zoomScalePageLayoutView="0" workbookViewId="0" topLeftCell="A49">
      <selection activeCell="F58" sqref="F58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0.28125" style="20" customWidth="1"/>
    <col min="4" max="4" width="11.00390625" style="20" customWidth="1"/>
    <col min="5" max="5" width="10.8515625" style="20" bestFit="1" customWidth="1"/>
    <col min="6" max="16384" width="9.140625" style="20" customWidth="1"/>
  </cols>
  <sheetData>
    <row r="1" spans="1:5" ht="16.5">
      <c r="A1" s="18" t="s">
        <v>118</v>
      </c>
      <c r="B1" s="19"/>
      <c r="C1" s="109" t="s">
        <v>346</v>
      </c>
      <c r="D1" s="109"/>
      <c r="E1" s="109"/>
    </row>
    <row r="2" spans="1:5" ht="16.5">
      <c r="A2" s="18"/>
      <c r="B2" s="19"/>
      <c r="C2" s="109" t="s">
        <v>347</v>
      </c>
      <c r="D2" s="109"/>
      <c r="E2" s="109"/>
    </row>
    <row r="3" spans="1:5" ht="16.5">
      <c r="A3" s="18"/>
      <c r="B3" s="19"/>
      <c r="C3" s="109" t="s">
        <v>348</v>
      </c>
      <c r="D3" s="109"/>
      <c r="E3" s="109"/>
    </row>
    <row r="4" spans="1:5" ht="16.5">
      <c r="A4" s="18"/>
      <c r="B4" s="111" t="s">
        <v>349</v>
      </c>
      <c r="C4" s="111"/>
      <c r="D4" s="111"/>
      <c r="E4" s="111"/>
    </row>
    <row r="5" spans="1:5" ht="16.5">
      <c r="A5" s="18"/>
      <c r="B5" s="111" t="s">
        <v>350</v>
      </c>
      <c r="C5" s="111"/>
      <c r="D5" s="111"/>
      <c r="E5" s="111"/>
    </row>
    <row r="6" spans="1:5" ht="16.5">
      <c r="A6" s="18"/>
      <c r="B6" s="19"/>
      <c r="C6" s="18"/>
      <c r="D6" s="18"/>
      <c r="E6" s="18"/>
    </row>
    <row r="7" spans="1:5" ht="41.25" customHeight="1">
      <c r="A7" s="110" t="s">
        <v>352</v>
      </c>
      <c r="B7" s="110"/>
      <c r="C7" s="110"/>
      <c r="D7" s="110"/>
      <c r="E7" s="110"/>
    </row>
    <row r="8" spans="1:5" ht="16.5">
      <c r="A8" s="21" t="s">
        <v>121</v>
      </c>
      <c r="B8" s="19"/>
      <c r="C8" s="108"/>
      <c r="D8" s="108"/>
      <c r="E8" s="80" t="s">
        <v>270</v>
      </c>
    </row>
    <row r="9" spans="1:5" ht="35.25" customHeight="1">
      <c r="A9" s="40" t="s">
        <v>122</v>
      </c>
      <c r="B9" s="40" t="s">
        <v>123</v>
      </c>
      <c r="C9" s="35" t="s">
        <v>279</v>
      </c>
      <c r="D9" s="35" t="s">
        <v>345</v>
      </c>
      <c r="E9" s="35" t="s">
        <v>344</v>
      </c>
    </row>
    <row r="10" spans="1:5" ht="16.5" customHeight="1">
      <c r="A10" s="74" t="s">
        <v>41</v>
      </c>
      <c r="B10" s="75" t="s">
        <v>124</v>
      </c>
      <c r="C10" s="76">
        <f>SUM(C11:C19)</f>
        <v>97072.36674</v>
      </c>
      <c r="D10" s="76">
        <f>SUM(D11:D19)</f>
        <v>95980.15583999999</v>
      </c>
      <c r="E10" s="98">
        <f aca="true" t="shared" si="0" ref="E10:E62">SUM(D10/C10)*100</f>
        <v>98.8748487992207</v>
      </c>
    </row>
    <row r="11" spans="1:5" ht="40.5" customHeight="1">
      <c r="A11" s="44" t="s">
        <v>42</v>
      </c>
      <c r="B11" s="42" t="s">
        <v>33</v>
      </c>
      <c r="C11" s="43">
        <f>SUM('Таблица №6'!F11)</f>
        <v>2158.93384</v>
      </c>
      <c r="D11" s="43">
        <f>SUM('Таблица №6'!G11)</f>
        <v>2158.93384</v>
      </c>
      <c r="E11" s="96">
        <f t="shared" si="0"/>
        <v>100</v>
      </c>
    </row>
    <row r="12" spans="1:5" ht="51.75" customHeight="1">
      <c r="A12" s="44" t="s">
        <v>28</v>
      </c>
      <c r="B12" s="42" t="s">
        <v>25</v>
      </c>
      <c r="C12" s="43">
        <f>SUM('Таблица №6'!F14)</f>
        <v>555.00964</v>
      </c>
      <c r="D12" s="43">
        <f>SUM('Таблица №6'!G14)</f>
        <v>555.00964</v>
      </c>
      <c r="E12" s="96">
        <f t="shared" si="0"/>
        <v>100</v>
      </c>
    </row>
    <row r="13" spans="1:5" ht="62.25" customHeight="1">
      <c r="A13" s="44" t="s">
        <v>40</v>
      </c>
      <c r="B13" s="42" t="s">
        <v>34</v>
      </c>
      <c r="C13" s="43">
        <f>SUM('Таблица №6'!F20)</f>
        <v>36191.26099999999</v>
      </c>
      <c r="D13" s="43">
        <f>SUM('Таблица №6'!G20)</f>
        <v>36070.978729999995</v>
      </c>
      <c r="E13" s="96">
        <f t="shared" si="0"/>
        <v>99.6676483032741</v>
      </c>
    </row>
    <row r="14" spans="1:5" ht="15" customHeight="1">
      <c r="A14" s="44" t="s">
        <v>43</v>
      </c>
      <c r="B14" s="42" t="s">
        <v>35</v>
      </c>
      <c r="C14" s="43">
        <f>SUM('Приложение 2'!G52)</f>
        <v>0</v>
      </c>
      <c r="D14" s="43">
        <f>SUM('Приложение 2'!H52)</f>
        <v>0</v>
      </c>
      <c r="E14" s="96">
        <v>0</v>
      </c>
    </row>
    <row r="15" spans="1:5" ht="38.25" customHeight="1">
      <c r="A15" s="44" t="s">
        <v>31</v>
      </c>
      <c r="B15" s="42" t="s">
        <v>125</v>
      </c>
      <c r="C15" s="43">
        <f>SUM('Таблица №6'!F44)</f>
        <v>1735.74588</v>
      </c>
      <c r="D15" s="43">
        <f>SUM('Таблица №6'!G44)</f>
        <v>1735.74588</v>
      </c>
      <c r="E15" s="96">
        <f t="shared" si="0"/>
        <v>100</v>
      </c>
    </row>
    <row r="16" spans="1:5" ht="1.5" customHeight="1" hidden="1">
      <c r="A16" s="44" t="s">
        <v>44</v>
      </c>
      <c r="B16" s="42" t="s">
        <v>36</v>
      </c>
      <c r="C16" s="43">
        <f>SUM('Таблица №6'!F51)</f>
        <v>0</v>
      </c>
      <c r="D16" s="43">
        <f>SUM('Таблица №6'!G51)</f>
        <v>0</v>
      </c>
      <c r="E16" s="96" t="e">
        <f t="shared" si="0"/>
        <v>#DIV/0!</v>
      </c>
    </row>
    <row r="17" spans="1:5" ht="16.5" customHeight="1">
      <c r="A17" s="44" t="s">
        <v>45</v>
      </c>
      <c r="B17" s="42" t="s">
        <v>38</v>
      </c>
      <c r="C17" s="43">
        <f>SUM('Таблица №6'!F55)</f>
        <v>0</v>
      </c>
      <c r="D17" s="43">
        <f>SUM('Таблица №6'!G55)</f>
        <v>0</v>
      </c>
      <c r="E17" s="96">
        <v>0</v>
      </c>
    </row>
    <row r="18" spans="1:5" ht="16.5" customHeight="1">
      <c r="A18" s="44" t="s">
        <v>29</v>
      </c>
      <c r="B18" s="42" t="s">
        <v>46</v>
      </c>
      <c r="C18" s="43">
        <f>SUM('Таблица №6'!F57)-C19</f>
        <v>56431.41638</v>
      </c>
      <c r="D18" s="43">
        <f>SUM('Таблица №6'!G57)-D19</f>
        <v>55459.48775</v>
      </c>
      <c r="E18" s="96">
        <f t="shared" si="0"/>
        <v>98.27768166679498</v>
      </c>
    </row>
    <row r="19" spans="1:5" ht="16.5" customHeight="1">
      <c r="A19" s="44" t="s">
        <v>29</v>
      </c>
      <c r="B19" s="42" t="s">
        <v>47</v>
      </c>
      <c r="C19" s="43">
        <f>SUM('Таблица №6'!F95)</f>
        <v>0</v>
      </c>
      <c r="D19" s="43">
        <f>SUM('Таблица №6'!G95)</f>
        <v>0</v>
      </c>
      <c r="E19" s="96">
        <v>0</v>
      </c>
    </row>
    <row r="20" spans="1:5" ht="16.5" customHeight="1">
      <c r="A20" s="74" t="s">
        <v>109</v>
      </c>
      <c r="B20" s="75" t="s">
        <v>126</v>
      </c>
      <c r="C20" s="76">
        <f>SUM(C21)</f>
        <v>1.4565000000000001</v>
      </c>
      <c r="D20" s="76">
        <f>SUM(D21)</f>
        <v>1.4565000000000001</v>
      </c>
      <c r="E20" s="98">
        <f t="shared" si="0"/>
        <v>100</v>
      </c>
    </row>
    <row r="21" spans="1:5" ht="16.5" customHeight="1">
      <c r="A21" s="44" t="s">
        <v>50</v>
      </c>
      <c r="B21" s="42" t="s">
        <v>49</v>
      </c>
      <c r="C21" s="43">
        <f>SUM('Таблица №6'!F96)</f>
        <v>1.4565000000000001</v>
      </c>
      <c r="D21" s="43">
        <f>SUM('Таблица №6'!G96)</f>
        <v>1.4565000000000001</v>
      </c>
      <c r="E21" s="96">
        <f t="shared" si="0"/>
        <v>100</v>
      </c>
    </row>
    <row r="22" spans="1:5" ht="27.75" customHeight="1">
      <c r="A22" s="74" t="s">
        <v>110</v>
      </c>
      <c r="B22" s="75" t="s">
        <v>114</v>
      </c>
      <c r="C22" s="76">
        <f>SUM(C23:C24)</f>
        <v>0</v>
      </c>
      <c r="D22" s="76">
        <f>SUM(D23:D24)</f>
        <v>0</v>
      </c>
      <c r="E22" s="98">
        <v>0</v>
      </c>
    </row>
    <row r="23" spans="1:5" ht="16.5" customHeight="1">
      <c r="A23" s="44" t="s">
        <v>51</v>
      </c>
      <c r="B23" s="42" t="s">
        <v>285</v>
      </c>
      <c r="C23" s="43">
        <f>SUM('Таблица №6'!F102)</f>
        <v>0</v>
      </c>
      <c r="D23" s="43">
        <f>SUM('Таблица №6'!G102)</f>
        <v>0</v>
      </c>
      <c r="E23" s="96">
        <v>0</v>
      </c>
    </row>
    <row r="24" spans="1:5" ht="42.75" customHeight="1">
      <c r="A24" s="44" t="s">
        <v>284</v>
      </c>
      <c r="B24" s="42" t="s">
        <v>283</v>
      </c>
      <c r="C24" s="43">
        <f>SUM('Таблица №6'!F105)</f>
        <v>0</v>
      </c>
      <c r="D24" s="43">
        <f>SUM('Таблица №6'!G105)</f>
        <v>0</v>
      </c>
      <c r="E24" s="96">
        <v>0</v>
      </c>
    </row>
    <row r="25" spans="1:5" ht="15.75" customHeight="1">
      <c r="A25" s="74" t="s">
        <v>59</v>
      </c>
      <c r="B25" s="75" t="s">
        <v>115</v>
      </c>
      <c r="C25" s="76">
        <f>SUM(C26:C28)</f>
        <v>22533.46592</v>
      </c>
      <c r="D25" s="76">
        <f>SUM(D26:D28)</f>
        <v>19558.01206</v>
      </c>
      <c r="E25" s="98">
        <f t="shared" si="0"/>
        <v>86.7954008026831</v>
      </c>
    </row>
    <row r="26" spans="1:5" ht="15.75" customHeight="1">
      <c r="A26" s="44" t="s">
        <v>140</v>
      </c>
      <c r="B26" s="42" t="s">
        <v>139</v>
      </c>
      <c r="C26" s="43">
        <f>SUM('Таблица №6'!F112)</f>
        <v>143.5</v>
      </c>
      <c r="D26" s="43">
        <f>SUM('Таблица №6'!G112)</f>
        <v>143.5</v>
      </c>
      <c r="E26" s="96">
        <f t="shared" si="0"/>
        <v>100</v>
      </c>
    </row>
    <row r="27" spans="1:5" ht="15.75" customHeight="1">
      <c r="A27" s="44" t="s">
        <v>52</v>
      </c>
      <c r="B27" s="42" t="s">
        <v>116</v>
      </c>
      <c r="C27" s="43">
        <f>SUM('Таблица №6'!F116)</f>
        <v>21148.52972</v>
      </c>
      <c r="D27" s="43">
        <f>SUM('Таблица №6'!G116)</f>
        <v>18235.57586</v>
      </c>
      <c r="E27" s="96">
        <f t="shared" si="0"/>
        <v>86.22621100111164</v>
      </c>
    </row>
    <row r="28" spans="1:5" ht="15.75" customHeight="1">
      <c r="A28" s="44" t="s">
        <v>53</v>
      </c>
      <c r="B28" s="42" t="s">
        <v>117</v>
      </c>
      <c r="C28" s="43">
        <f>SUM('Таблица №6'!F124)</f>
        <v>1241.4362</v>
      </c>
      <c r="D28" s="43">
        <f>SUM('Таблица №6'!G124)</f>
        <v>1178.9362</v>
      </c>
      <c r="E28" s="96">
        <f t="shared" si="0"/>
        <v>94.96550849733558</v>
      </c>
    </row>
    <row r="29" spans="1:5" ht="15.75" customHeight="1">
      <c r="A29" s="74" t="s">
        <v>56</v>
      </c>
      <c r="B29" s="75" t="s">
        <v>127</v>
      </c>
      <c r="C29" s="76">
        <f>SUM(C30:C31)</f>
        <v>26921.575240000002</v>
      </c>
      <c r="D29" s="76">
        <f>SUM(D30:D31)</f>
        <v>11921.57524</v>
      </c>
      <c r="E29" s="98">
        <f t="shared" si="0"/>
        <v>44.28260654780318</v>
      </c>
    </row>
    <row r="30" spans="1:5" ht="14.25" customHeight="1">
      <c r="A30" s="44" t="s">
        <v>57</v>
      </c>
      <c r="B30" s="42" t="s">
        <v>54</v>
      </c>
      <c r="C30" s="43">
        <f>SUM('Таблица №6'!F136)</f>
        <v>19896.17524</v>
      </c>
      <c r="D30" s="43">
        <f>SUM('Таблица №6'!G136)</f>
        <v>4896.17524</v>
      </c>
      <c r="E30" s="96">
        <f t="shared" si="0"/>
        <v>24.608625431467598</v>
      </c>
    </row>
    <row r="31" spans="1:5" ht="15">
      <c r="A31" s="44" t="s">
        <v>128</v>
      </c>
      <c r="B31" s="42" t="s">
        <v>129</v>
      </c>
      <c r="C31" s="43">
        <f>SUM('Таблица №6'!F149)</f>
        <v>7025.400000000001</v>
      </c>
      <c r="D31" s="43">
        <f>SUM('Таблица №6'!G149)</f>
        <v>7025.400000000001</v>
      </c>
      <c r="E31" s="96">
        <f t="shared" si="0"/>
        <v>100</v>
      </c>
    </row>
    <row r="32" spans="1:5" ht="15.75" customHeight="1">
      <c r="A32" s="74" t="s">
        <v>111</v>
      </c>
      <c r="B32" s="75" t="s">
        <v>58</v>
      </c>
      <c r="C32" s="76">
        <f>SUM(C33)</f>
        <v>0</v>
      </c>
      <c r="D32" s="76">
        <f>SUM(D33)</f>
        <v>0</v>
      </c>
      <c r="E32" s="98">
        <v>0</v>
      </c>
    </row>
    <row r="33" spans="1:5" ht="15.75" customHeight="1">
      <c r="A33" s="44" t="s">
        <v>60</v>
      </c>
      <c r="B33" s="42" t="s">
        <v>312</v>
      </c>
      <c r="C33" s="43">
        <f>SUM('Таблица №6'!F155)</f>
        <v>0</v>
      </c>
      <c r="D33" s="43">
        <f>SUM('Таблица №6'!G155)</f>
        <v>0</v>
      </c>
      <c r="E33" s="96">
        <v>0</v>
      </c>
    </row>
    <row r="34" spans="1:5" ht="18" customHeight="1">
      <c r="A34" s="74" t="s">
        <v>64</v>
      </c>
      <c r="B34" s="75" t="s">
        <v>61</v>
      </c>
      <c r="C34" s="76">
        <f>SUM(C35:C39)</f>
        <v>296949.49645000004</v>
      </c>
      <c r="D34" s="76">
        <f>SUM(D35:D39)</f>
        <v>274838.9477</v>
      </c>
      <c r="E34" s="98">
        <f t="shared" si="0"/>
        <v>92.55410464933287</v>
      </c>
    </row>
    <row r="35" spans="1:5" ht="18" customHeight="1">
      <c r="A35" s="44" t="s">
        <v>63</v>
      </c>
      <c r="B35" s="42" t="s">
        <v>62</v>
      </c>
      <c r="C35" s="43">
        <f>SUM('Таблица №6'!F160)</f>
        <v>41574.66481999999</v>
      </c>
      <c r="D35" s="43">
        <f>SUM('Таблица №6'!G160)</f>
        <v>39611.592619999996</v>
      </c>
      <c r="E35" s="96">
        <f t="shared" si="0"/>
        <v>95.27820077804779</v>
      </c>
    </row>
    <row r="36" spans="1:5" ht="18" customHeight="1">
      <c r="A36" s="44" t="s">
        <v>65</v>
      </c>
      <c r="B36" s="42" t="s">
        <v>70</v>
      </c>
      <c r="C36" s="43">
        <f>SUM('Таблица №6'!F183)</f>
        <v>231167.89034000004</v>
      </c>
      <c r="D36" s="43">
        <f>SUM('Таблица №6'!G183)</f>
        <v>211249.78744</v>
      </c>
      <c r="E36" s="96">
        <f t="shared" si="0"/>
        <v>91.38370693667504</v>
      </c>
    </row>
    <row r="37" spans="1:5" ht="18" customHeight="1">
      <c r="A37" s="44" t="s">
        <v>202</v>
      </c>
      <c r="B37" s="42" t="s">
        <v>201</v>
      </c>
      <c r="C37" s="43">
        <f>SUM('Таблица №6'!F224)</f>
        <v>11531.284870000001</v>
      </c>
      <c r="D37" s="43">
        <f>SUM('Таблица №6'!G224)</f>
        <v>11301.91122</v>
      </c>
      <c r="E37" s="96">
        <f t="shared" si="0"/>
        <v>98.01085783079782</v>
      </c>
    </row>
    <row r="38" spans="1:5" ht="18" customHeight="1">
      <c r="A38" s="44" t="s">
        <v>71</v>
      </c>
      <c r="B38" s="42" t="s">
        <v>286</v>
      </c>
      <c r="C38" s="43">
        <f>SUM('Таблица №6'!F233)</f>
        <v>4844.24205</v>
      </c>
      <c r="D38" s="43">
        <f>SUM('Таблица №6'!G233)</f>
        <v>4844.24205</v>
      </c>
      <c r="E38" s="96">
        <f t="shared" si="0"/>
        <v>100</v>
      </c>
    </row>
    <row r="39" spans="1:5" ht="18" customHeight="1">
      <c r="A39" s="44" t="s">
        <v>73</v>
      </c>
      <c r="B39" s="42" t="s">
        <v>72</v>
      </c>
      <c r="C39" s="43">
        <f>SUM('Таблица №6'!F246)</f>
        <v>7831.41437</v>
      </c>
      <c r="D39" s="43">
        <f>SUM('Таблица №6'!G246)</f>
        <v>7831.41437</v>
      </c>
      <c r="E39" s="96">
        <f t="shared" si="0"/>
        <v>100</v>
      </c>
    </row>
    <row r="40" spans="1:5" ht="18" customHeight="1">
      <c r="A40" s="74" t="s">
        <v>112</v>
      </c>
      <c r="B40" s="75" t="s">
        <v>130</v>
      </c>
      <c r="C40" s="76">
        <f>SUM(C41:C43)</f>
        <v>33431.60135</v>
      </c>
      <c r="D40" s="76">
        <f>SUM(D41:D43)</f>
        <v>32548.330230000003</v>
      </c>
      <c r="E40" s="98">
        <f t="shared" si="0"/>
        <v>97.3579754354184</v>
      </c>
    </row>
    <row r="41" spans="1:5" ht="18" customHeight="1">
      <c r="A41" s="44" t="s">
        <v>80</v>
      </c>
      <c r="B41" s="42" t="s">
        <v>113</v>
      </c>
      <c r="C41" s="43">
        <f>SUM('Таблица №6'!F262)</f>
        <v>32917.43298</v>
      </c>
      <c r="D41" s="43">
        <f>SUM('Таблица №6'!G262)</f>
        <v>32082.13645</v>
      </c>
      <c r="E41" s="96">
        <f t="shared" si="0"/>
        <v>97.46244936381429</v>
      </c>
    </row>
    <row r="42" spans="1:5" ht="15.75" customHeight="1">
      <c r="A42" s="44" t="s">
        <v>81</v>
      </c>
      <c r="B42" s="42" t="s">
        <v>78</v>
      </c>
      <c r="C42" s="43">
        <f>SUM('Таблица №6'!F279)</f>
        <v>514.1683700000001</v>
      </c>
      <c r="D42" s="43">
        <f>SUM('Таблица №6'!G279)</f>
        <v>466.19378</v>
      </c>
      <c r="E42" s="96">
        <f t="shared" si="0"/>
        <v>90.66947856010667</v>
      </c>
    </row>
    <row r="43" spans="1:5" ht="20.25" customHeight="1" hidden="1">
      <c r="A43" s="44" t="s">
        <v>82</v>
      </c>
      <c r="B43" s="42" t="s">
        <v>79</v>
      </c>
      <c r="C43" s="43">
        <f>SUM('Таблица №6'!F281)</f>
        <v>0</v>
      </c>
      <c r="D43" s="43">
        <f>SUM('Таблица №6'!G281)</f>
        <v>0</v>
      </c>
      <c r="E43" s="96" t="e">
        <f t="shared" si="0"/>
        <v>#DIV/0!</v>
      </c>
    </row>
    <row r="44" spans="1:5" ht="18" customHeight="1" hidden="1">
      <c r="A44" s="74" t="s">
        <v>205</v>
      </c>
      <c r="B44" s="75" t="s">
        <v>204</v>
      </c>
      <c r="C44" s="76">
        <f>SUM(C45)</f>
        <v>0</v>
      </c>
      <c r="D44" s="76">
        <f>SUM(D45)</f>
        <v>0</v>
      </c>
      <c r="E44" s="96" t="e">
        <f t="shared" si="0"/>
        <v>#DIV/0!</v>
      </c>
    </row>
    <row r="45" spans="1:5" ht="0.75" customHeight="1" hidden="1">
      <c r="A45" s="44" t="s">
        <v>207</v>
      </c>
      <c r="B45" s="42" t="s">
        <v>206</v>
      </c>
      <c r="C45" s="43">
        <f>SUM('Таблица №6'!F286)</f>
        <v>0</v>
      </c>
      <c r="D45" s="43">
        <f>SUM('Таблица №6'!G286)</f>
        <v>0</v>
      </c>
      <c r="E45" s="96" t="e">
        <f t="shared" si="0"/>
        <v>#DIV/0!</v>
      </c>
    </row>
    <row r="46" spans="1:5" ht="18" customHeight="1">
      <c r="A46" s="74">
        <v>1000</v>
      </c>
      <c r="B46" s="75" t="s">
        <v>83</v>
      </c>
      <c r="C46" s="76">
        <f>SUM(C47:C50)</f>
        <v>27915.57063</v>
      </c>
      <c r="D46" s="76">
        <f>SUM(D47:D50)</f>
        <v>27054.96842</v>
      </c>
      <c r="E46" s="98">
        <f t="shared" si="0"/>
        <v>96.91712477811528</v>
      </c>
    </row>
    <row r="47" spans="1:8" ht="18" customHeight="1">
      <c r="A47" s="44">
        <v>1001</v>
      </c>
      <c r="B47" s="42" t="s">
        <v>84</v>
      </c>
      <c r="C47" s="43">
        <f>SUM('Таблица №6'!F291)</f>
        <v>4583.02963</v>
      </c>
      <c r="D47" s="43">
        <f>SUM('Таблица №6'!G291)</f>
        <v>4583.02963</v>
      </c>
      <c r="E47" s="96">
        <f t="shared" si="0"/>
        <v>100</v>
      </c>
      <c r="F47" s="95"/>
      <c r="G47" s="95"/>
      <c r="H47" s="95"/>
    </row>
    <row r="48" spans="1:5" ht="18" customHeight="1">
      <c r="A48" s="44">
        <v>1003</v>
      </c>
      <c r="B48" s="42" t="s">
        <v>86</v>
      </c>
      <c r="C48" s="43">
        <f>SUM('Таблица №6'!F294)</f>
        <v>15653.363</v>
      </c>
      <c r="D48" s="43">
        <f>SUM('Таблица №6'!G294)</f>
        <v>14792.76079</v>
      </c>
      <c r="E48" s="96">
        <f t="shared" si="0"/>
        <v>94.50212577322841</v>
      </c>
    </row>
    <row r="49" spans="1:5" ht="18" customHeight="1">
      <c r="A49" s="44">
        <v>1004</v>
      </c>
      <c r="B49" s="42" t="s">
        <v>87</v>
      </c>
      <c r="C49" s="43">
        <f>SUM('Таблица №6'!F307)</f>
        <v>6695.299999999999</v>
      </c>
      <c r="D49" s="43">
        <f>SUM('Таблица №6'!G307)</f>
        <v>6695.299999999999</v>
      </c>
      <c r="E49" s="96">
        <f t="shared" si="0"/>
        <v>100</v>
      </c>
    </row>
    <row r="50" spans="1:5" ht="18" customHeight="1">
      <c r="A50" s="44" t="s">
        <v>215</v>
      </c>
      <c r="B50" s="42" t="s">
        <v>216</v>
      </c>
      <c r="C50" s="43">
        <f>SUM('Таблица №6'!F319)</f>
        <v>983.8779999999999</v>
      </c>
      <c r="D50" s="43">
        <f>SUM('Таблица №6'!G319)</f>
        <v>983.8779999999999</v>
      </c>
      <c r="E50" s="96">
        <f t="shared" si="0"/>
        <v>100</v>
      </c>
    </row>
    <row r="51" spans="1:5" ht="17.25" customHeight="1">
      <c r="A51" s="74" t="s">
        <v>131</v>
      </c>
      <c r="B51" s="75" t="s">
        <v>90</v>
      </c>
      <c r="C51" s="76">
        <f>SUM(C52:C54)</f>
        <v>371.6338</v>
      </c>
      <c r="D51" s="76">
        <f>SUM(D52:D54)</f>
        <v>371.6338</v>
      </c>
      <c r="E51" s="98">
        <f t="shared" si="0"/>
        <v>100</v>
      </c>
    </row>
    <row r="52" spans="1:5" ht="18" customHeight="1" hidden="1">
      <c r="A52" s="44" t="s">
        <v>208</v>
      </c>
      <c r="B52" s="42" t="s">
        <v>262</v>
      </c>
      <c r="C52" s="43">
        <f>SUM('Приложение 2'!G327)</f>
        <v>0</v>
      </c>
      <c r="D52" s="43">
        <f>SUM('Приложение 2'!H327)</f>
        <v>0</v>
      </c>
      <c r="E52" s="96" t="e">
        <f t="shared" si="0"/>
        <v>#DIV/0!</v>
      </c>
    </row>
    <row r="53" spans="1:5" ht="15" hidden="1">
      <c r="A53" s="44" t="s">
        <v>257</v>
      </c>
      <c r="B53" s="42" t="s">
        <v>258</v>
      </c>
      <c r="C53" s="43">
        <f>SUM('Приложение 2'!G331)</f>
        <v>0</v>
      </c>
      <c r="D53" s="43">
        <f>SUM('Приложение 2'!H331)</f>
        <v>0</v>
      </c>
      <c r="E53" s="96" t="e">
        <f t="shared" si="0"/>
        <v>#DIV/0!</v>
      </c>
    </row>
    <row r="54" spans="1:5" ht="26.25" customHeight="1">
      <c r="A54" s="44" t="s">
        <v>91</v>
      </c>
      <c r="B54" s="42" t="s">
        <v>209</v>
      </c>
      <c r="C54" s="43">
        <f>SUM('Таблица №6'!F333)</f>
        <v>371.6338</v>
      </c>
      <c r="D54" s="43">
        <f>SUM('Таблица №6'!G333)</f>
        <v>371.6338</v>
      </c>
      <c r="E54" s="96">
        <f t="shared" si="0"/>
        <v>100</v>
      </c>
    </row>
    <row r="55" spans="1:5" ht="18" customHeight="1">
      <c r="A55" s="74" t="s">
        <v>132</v>
      </c>
      <c r="B55" s="75" t="s">
        <v>92</v>
      </c>
      <c r="C55" s="76">
        <f>SUM(C56:C57)</f>
        <v>2147.7</v>
      </c>
      <c r="D55" s="76">
        <f>SUM(D56:D57)</f>
        <v>2147.7</v>
      </c>
      <c r="E55" s="98">
        <f t="shared" si="0"/>
        <v>100</v>
      </c>
    </row>
    <row r="56" spans="1:5" ht="18" customHeight="1" hidden="1">
      <c r="A56" s="44" t="s">
        <v>191</v>
      </c>
      <c r="B56" s="42" t="s">
        <v>190</v>
      </c>
      <c r="C56" s="43">
        <v>0</v>
      </c>
      <c r="D56" s="43">
        <v>0</v>
      </c>
      <c r="E56" s="96" t="e">
        <f t="shared" si="0"/>
        <v>#DIV/0!</v>
      </c>
    </row>
    <row r="57" spans="1:5" ht="18" customHeight="1">
      <c r="A57" s="44" t="s">
        <v>93</v>
      </c>
      <c r="B57" s="42" t="s">
        <v>328</v>
      </c>
      <c r="C57" s="43">
        <f>SUM('Приложение 2'!G339)</f>
        <v>2147.7</v>
      </c>
      <c r="D57" s="43">
        <f>SUM('Приложение 2'!H339)</f>
        <v>2147.7</v>
      </c>
      <c r="E57" s="96">
        <f t="shared" si="0"/>
        <v>100</v>
      </c>
    </row>
    <row r="58" spans="1:5" ht="29.25" customHeight="1">
      <c r="A58" s="74" t="s">
        <v>133</v>
      </c>
      <c r="B58" s="75" t="s">
        <v>329</v>
      </c>
      <c r="C58" s="76">
        <f>SUM(C59:C59)</f>
        <v>1099.2958800000001</v>
      </c>
      <c r="D58" s="76">
        <f>SUM(D59:D59)</f>
        <v>1099.2958800000001</v>
      </c>
      <c r="E58" s="98">
        <f t="shared" si="0"/>
        <v>100</v>
      </c>
    </row>
    <row r="59" spans="1:5" ht="30">
      <c r="A59" s="74" t="s">
        <v>94</v>
      </c>
      <c r="B59" s="42" t="s">
        <v>332</v>
      </c>
      <c r="C59" s="43">
        <f>SUM('Таблица №6'!F341)</f>
        <v>1099.2958800000001</v>
      </c>
      <c r="D59" s="43">
        <f>SUM('Таблица №6'!G341)</f>
        <v>1099.2958800000001</v>
      </c>
      <c r="E59" s="96">
        <f t="shared" si="0"/>
        <v>100</v>
      </c>
    </row>
    <row r="60" spans="1:5" ht="43.5" customHeight="1">
      <c r="A60" s="74" t="s">
        <v>162</v>
      </c>
      <c r="B60" s="75" t="s">
        <v>330</v>
      </c>
      <c r="C60" s="76">
        <f>SUM(C61:C61)</f>
        <v>21884.85879</v>
      </c>
      <c r="D60" s="76">
        <f>SUM(D61:D61)</f>
        <v>21884.85879</v>
      </c>
      <c r="E60" s="98">
        <f t="shared" si="0"/>
        <v>100</v>
      </c>
    </row>
    <row r="61" spans="1:5" ht="22.5" customHeight="1">
      <c r="A61" s="44" t="s">
        <v>164</v>
      </c>
      <c r="B61" s="42" t="s">
        <v>163</v>
      </c>
      <c r="C61" s="43">
        <f>SUM('Приложение 2'!G349)</f>
        <v>21884.85879</v>
      </c>
      <c r="D61" s="43">
        <f>SUM('Приложение 2'!H349)</f>
        <v>21884.85879</v>
      </c>
      <c r="E61" s="96">
        <f t="shared" si="0"/>
        <v>100</v>
      </c>
    </row>
    <row r="62" spans="1:5" ht="21" customHeight="1">
      <c r="A62" s="77"/>
      <c r="B62" s="78" t="s">
        <v>134</v>
      </c>
      <c r="C62" s="76">
        <f>C10+C20+C22+C25+C29+C32+C34+C40+C46+C51+C55+C58+C60+C44</f>
        <v>530329.0213</v>
      </c>
      <c r="D62" s="76">
        <f>D10+D20+D22+D25+D29+D32+D34+D40+D46+D51+D55+D58+D60+D44</f>
        <v>487406.93446</v>
      </c>
      <c r="E62" s="98">
        <f t="shared" si="0"/>
        <v>91.90651744179779</v>
      </c>
    </row>
  </sheetData>
  <sheetProtection/>
  <mergeCells count="7">
    <mergeCell ref="C8:D8"/>
    <mergeCell ref="C1:E1"/>
    <mergeCell ref="C2:E2"/>
    <mergeCell ref="C3:E3"/>
    <mergeCell ref="A7:E7"/>
    <mergeCell ref="B4:E4"/>
    <mergeCell ref="B5:E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50"/>
  <sheetViews>
    <sheetView showGridLines="0" zoomScale="110" zoomScaleNormal="110" zoomScalePageLayoutView="0" workbookViewId="0" topLeftCell="A1">
      <pane ySplit="9" topLeftCell="A342" activePane="bottomLeft" state="frozen"/>
      <selection pane="topLeft" activeCell="A1" sqref="A1"/>
      <selection pane="bottomLeft" activeCell="A350" sqref="A350:IV350"/>
    </sheetView>
  </sheetViews>
  <sheetFormatPr defaultColWidth="9.140625" defaultRowHeight="12.75" outlineLevelRow="5"/>
  <cols>
    <col min="1" max="1" width="47.140625" style="7" customWidth="1"/>
    <col min="2" max="2" width="4.57421875" style="12" customWidth="1"/>
    <col min="3" max="3" width="4.140625" style="12" customWidth="1"/>
    <col min="4" max="4" width="3.57421875" style="13" customWidth="1"/>
    <col min="5" max="5" width="5.421875" style="11" customWidth="1"/>
    <col min="6" max="6" width="8.8515625" style="2" customWidth="1"/>
    <col min="7" max="7" width="9.140625" style="2" customWidth="1"/>
    <col min="8" max="8" width="10.8515625" style="2" customWidth="1"/>
    <col min="9" max="16384" width="9.140625" style="2" customWidth="1"/>
  </cols>
  <sheetData>
    <row r="1" spans="1:8" ht="18.75" customHeight="1">
      <c r="A1" s="54"/>
      <c r="B1" s="55"/>
      <c r="C1" s="56"/>
      <c r="D1" s="56"/>
      <c r="E1" s="56"/>
      <c r="F1" s="109"/>
      <c r="G1" s="109"/>
      <c r="H1" s="109"/>
    </row>
    <row r="2" spans="1:8" ht="12.75" customHeight="1">
      <c r="A2" s="54"/>
      <c r="B2" s="109" t="s">
        <v>136</v>
      </c>
      <c r="C2" s="109"/>
      <c r="D2" s="109"/>
      <c r="E2" s="109"/>
      <c r="F2" s="109"/>
      <c r="G2" s="109"/>
      <c r="H2" s="109"/>
    </row>
    <row r="3" spans="1:8" ht="18.75" customHeight="1">
      <c r="A3" s="54"/>
      <c r="B3" s="55"/>
      <c r="C3" s="55"/>
      <c r="D3" s="57"/>
      <c r="E3" s="109" t="s">
        <v>137</v>
      </c>
      <c r="F3" s="109"/>
      <c r="G3" s="109"/>
      <c r="H3" s="109"/>
    </row>
    <row r="4" spans="1:8" ht="18.75" customHeight="1">
      <c r="A4" s="109" t="s">
        <v>147</v>
      </c>
      <c r="B4" s="109"/>
      <c r="C4" s="109"/>
      <c r="D4" s="109"/>
      <c r="E4" s="109"/>
      <c r="F4" s="109"/>
      <c r="G4" s="109"/>
      <c r="H4" s="109"/>
    </row>
    <row r="5" spans="1:5" ht="15">
      <c r="A5" s="8"/>
      <c r="B5" s="1"/>
      <c r="C5" s="1"/>
      <c r="D5" s="5"/>
      <c r="E5" s="10"/>
    </row>
    <row r="6" spans="1:8" ht="44.25" customHeight="1">
      <c r="A6" s="113" t="s">
        <v>354</v>
      </c>
      <c r="B6" s="113"/>
      <c r="C6" s="113"/>
      <c r="D6" s="113"/>
      <c r="E6" s="113"/>
      <c r="F6" s="113"/>
      <c r="G6" s="113"/>
      <c r="H6" s="113"/>
    </row>
    <row r="7" spans="1:5" ht="7.5" customHeight="1">
      <c r="A7" s="31"/>
      <c r="B7" s="32"/>
      <c r="C7" s="32"/>
      <c r="D7" s="33"/>
      <c r="E7" s="34"/>
    </row>
    <row r="8" spans="1:8" ht="6.75" customHeight="1">
      <c r="A8" s="31"/>
      <c r="B8" s="32"/>
      <c r="C8" s="32"/>
      <c r="D8" s="33"/>
      <c r="E8" s="34"/>
      <c r="F8" s="112"/>
      <c r="G8" s="112"/>
      <c r="H8" s="79" t="s">
        <v>270</v>
      </c>
    </row>
    <row r="9" spans="1:8" ht="87.75" customHeight="1">
      <c r="A9" s="36" t="s">
        <v>1</v>
      </c>
      <c r="B9" s="85" t="s">
        <v>172</v>
      </c>
      <c r="C9" s="93" t="s">
        <v>214</v>
      </c>
      <c r="D9" s="83" t="s">
        <v>8</v>
      </c>
      <c r="E9" s="84" t="s">
        <v>148</v>
      </c>
      <c r="F9" s="35" t="s">
        <v>279</v>
      </c>
      <c r="G9" s="35" t="s">
        <v>345</v>
      </c>
      <c r="H9" s="35" t="s">
        <v>344</v>
      </c>
    </row>
    <row r="10" spans="1:8" s="4" customFormat="1" ht="12.75" outlineLevel="3">
      <c r="A10" s="45" t="str">
        <f>'Приложение 2'!A12</f>
        <v>ОБЩЕГОСУДАРСТВЕННЫЕ ВОПРОСЫ</v>
      </c>
      <c r="B10" s="71" t="str">
        <f>'Приложение 2'!C12</f>
        <v>0100</v>
      </c>
      <c r="C10" s="71"/>
      <c r="D10" s="71"/>
      <c r="E10" s="71"/>
      <c r="F10" s="58">
        <f>SUM(F11+F20+F50+F54+F57+F14+F44+F40)</f>
        <v>97072.36674</v>
      </c>
      <c r="G10" s="58">
        <f>SUM(G11+G20+G50+G54+G57+G14+G44+G40)</f>
        <v>95980.15583999999</v>
      </c>
      <c r="H10" s="64">
        <f aca="true" t="shared" si="0" ref="H10:H73">SUM(G10/F10)*100</f>
        <v>98.8748487992207</v>
      </c>
    </row>
    <row r="11" spans="1:8" s="4" customFormat="1" ht="28.5" customHeight="1" outlineLevel="3">
      <c r="A11" s="45" t="str">
        <f>'Приложение 2'!A29</f>
        <v>Функционирование высшего должностного лица субъекта Российской Федерации и муниципального образования</v>
      </c>
      <c r="B11" s="71" t="str">
        <f>'Приложение 2'!C29</f>
        <v>0102</v>
      </c>
      <c r="C11" s="71"/>
      <c r="D11" s="71"/>
      <c r="E11" s="71"/>
      <c r="F11" s="58">
        <f>SUM(F12)</f>
        <v>2158.93384</v>
      </c>
      <c r="G11" s="58">
        <f>SUM(G12)</f>
        <v>2158.93384</v>
      </c>
      <c r="H11" s="64">
        <f t="shared" si="0"/>
        <v>100</v>
      </c>
    </row>
    <row r="12" spans="1:8" s="4" customFormat="1" ht="36" outlineLevel="3">
      <c r="A12" s="45" t="str">
        <f>'Приложение 2'!A30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1" t="str">
        <f>'Приложение 2'!C30</f>
        <v>0102</v>
      </c>
      <c r="C12" s="71" t="s">
        <v>11</v>
      </c>
      <c r="D12" s="71" t="s">
        <v>9</v>
      </c>
      <c r="E12" s="71">
        <v>100</v>
      </c>
      <c r="F12" s="58">
        <f>SUM(F13)</f>
        <v>2158.93384</v>
      </c>
      <c r="G12" s="58">
        <f>SUM(G13)</f>
        <v>2158.93384</v>
      </c>
      <c r="H12" s="64">
        <f t="shared" si="0"/>
        <v>100</v>
      </c>
    </row>
    <row r="13" spans="1:8" ht="48" outlineLevel="1">
      <c r="A13" s="45" t="str">
        <f>'Приложение 2'!A31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1" t="str">
        <f>'Приложение 2'!C31</f>
        <v>0102</v>
      </c>
      <c r="C13" s="71" t="s">
        <v>11</v>
      </c>
      <c r="D13" s="71">
        <v>0</v>
      </c>
      <c r="E13" s="71">
        <v>100</v>
      </c>
      <c r="F13" s="58">
        <f>SUM('Приложение 2'!G31)</f>
        <v>2158.93384</v>
      </c>
      <c r="G13" s="58">
        <f>SUM('Приложение 2'!H31)</f>
        <v>2158.93384</v>
      </c>
      <c r="H13" s="64">
        <f t="shared" si="0"/>
        <v>100</v>
      </c>
    </row>
    <row r="14" spans="1:8" ht="37.5" customHeight="1" outlineLevel="1">
      <c r="A14" s="45" t="str">
        <f>'Приложение 2'!A13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1" t="str">
        <f>'Приложение 2'!C13</f>
        <v>0103</v>
      </c>
      <c r="C14" s="72"/>
      <c r="D14" s="71"/>
      <c r="E14" s="71"/>
      <c r="F14" s="58">
        <f>SUBTOTAL(9,'Приложение 2'!G12)</f>
        <v>555.00964</v>
      </c>
      <c r="G14" s="58">
        <f>SUBTOTAL(9,'Приложение 2'!H12)</f>
        <v>555.00964</v>
      </c>
      <c r="H14" s="64">
        <f t="shared" si="0"/>
        <v>100</v>
      </c>
    </row>
    <row r="15" spans="1:8" ht="24.75" customHeight="1" outlineLevel="1">
      <c r="A15" s="45" t="str">
        <f>'Приложение 2'!A14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1" t="str">
        <f>'Приложение 2'!C14</f>
        <v>0103</v>
      </c>
      <c r="C15" s="72"/>
      <c r="D15" s="71"/>
      <c r="E15" s="71"/>
      <c r="F15" s="58">
        <f>SUBTOTAL(9,'Приложение 2'!G13)</f>
        <v>555.00964</v>
      </c>
      <c r="G15" s="58">
        <f>SUBTOTAL(9,'Приложение 2'!H13)</f>
        <v>555.00964</v>
      </c>
      <c r="H15" s="64">
        <f t="shared" si="0"/>
        <v>100</v>
      </c>
    </row>
    <row r="16" spans="1:8" ht="48" outlineLevel="1">
      <c r="A16" s="45" t="str">
        <f>'Приложение 2'!A15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1" t="str">
        <f>'Приложение 2'!C15</f>
        <v>0103</v>
      </c>
      <c r="C16" s="71" t="str">
        <f>'Приложение 2'!D15</f>
        <v>90</v>
      </c>
      <c r="D16" s="71" t="str">
        <f>'Приложение 2'!E15</f>
        <v>0</v>
      </c>
      <c r="E16" s="71">
        <f>'Приложение 2'!F15</f>
        <v>100</v>
      </c>
      <c r="F16" s="58">
        <f>SUBTOTAL(9,'Приложение 2'!G15)</f>
        <v>484.18524</v>
      </c>
      <c r="G16" s="58">
        <f>SUBTOTAL(9,'Приложение 2'!H15)</f>
        <v>484.18524</v>
      </c>
      <c r="H16" s="64">
        <f t="shared" si="0"/>
        <v>100</v>
      </c>
    </row>
    <row r="17" spans="1:8" ht="24" outlineLevel="1">
      <c r="A17" s="45" t="str">
        <f>'Приложение 2'!A16</f>
        <v>Закупка товаров, работ и услуг для государственных (муниципальных) нужд</v>
      </c>
      <c r="B17" s="71" t="str">
        <f>'Приложение 2'!C16</f>
        <v>0103</v>
      </c>
      <c r="C17" s="71" t="str">
        <f>'Приложение 2'!D16</f>
        <v>90</v>
      </c>
      <c r="D17" s="71">
        <f>'Приложение 2'!E16</f>
        <v>0</v>
      </c>
      <c r="E17" s="71">
        <f>'Приложение 2'!F16</f>
        <v>200</v>
      </c>
      <c r="F17" s="58">
        <f>SUBTOTAL(9,'Приложение 2'!G16)</f>
        <v>70.82426</v>
      </c>
      <c r="G17" s="58">
        <f>SUBTOTAL(9,'Приложение 2'!H16)</f>
        <v>70.82426</v>
      </c>
      <c r="H17" s="64">
        <f t="shared" si="0"/>
        <v>100</v>
      </c>
    </row>
    <row r="18" spans="1:8" ht="27.75" customHeight="1" hidden="1" outlineLevel="1">
      <c r="A18" s="45" t="str">
        <f>'Приложение 2'!A17</f>
        <v>Непрограммные расходы органов местного самоуправления Алексеевского муниципального района</v>
      </c>
      <c r="B18" s="71" t="str">
        <f>'Приложение 2'!C17</f>
        <v>0103</v>
      </c>
      <c r="C18" s="71" t="str">
        <f>'Приложение 2'!D17</f>
        <v>99</v>
      </c>
      <c r="D18" s="71">
        <f>'Приложение 2'!E17</f>
        <v>0</v>
      </c>
      <c r="E18" s="73"/>
      <c r="F18" s="58">
        <f>SUBTOTAL(9,'Приложение 2'!G17)</f>
        <v>0.00014</v>
      </c>
      <c r="G18" s="58">
        <f>SUBTOTAL(9,'Приложение 2'!H17)</f>
        <v>0.00014</v>
      </c>
      <c r="H18" s="64">
        <f t="shared" si="0"/>
        <v>100</v>
      </c>
    </row>
    <row r="19" spans="1:8" ht="12.75" hidden="1" outlineLevel="1">
      <c r="A19" s="45" t="str">
        <f>'Приложение 2'!A18</f>
        <v>Иные бюджетные ассигнования</v>
      </c>
      <c r="B19" s="71" t="str">
        <f>'Приложение 2'!C18</f>
        <v>0103</v>
      </c>
      <c r="C19" s="71" t="str">
        <f>'Приложение 2'!D18</f>
        <v>99</v>
      </c>
      <c r="D19" s="71">
        <f>'Приложение 2'!E18</f>
        <v>0</v>
      </c>
      <c r="E19" s="71">
        <f>'Приложение 2'!F18</f>
        <v>800</v>
      </c>
      <c r="F19" s="58">
        <f>SUBTOTAL(9,'Приложение 2'!G18)</f>
        <v>0.00014</v>
      </c>
      <c r="G19" s="58">
        <f>SUBTOTAL(9,'Приложение 2'!H18)</f>
        <v>0.00014</v>
      </c>
      <c r="H19" s="64">
        <f t="shared" si="0"/>
        <v>100</v>
      </c>
    </row>
    <row r="20" spans="1:8" ht="36" outlineLevel="2">
      <c r="A20" s="46" t="str">
        <f>'Приложение 2'!A32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2" t="str">
        <f>'Приложение 2'!C32</f>
        <v>0104</v>
      </c>
      <c r="C20" s="72"/>
      <c r="D20" s="72"/>
      <c r="E20" s="72"/>
      <c r="F20" s="58">
        <f>'Приложение 2'!G32</f>
        <v>36191.26099999999</v>
      </c>
      <c r="G20" s="58">
        <f>'Приложение 2'!H32</f>
        <v>36070.978729999995</v>
      </c>
      <c r="H20" s="64">
        <f t="shared" si="0"/>
        <v>99.6676483032741</v>
      </c>
    </row>
    <row r="21" spans="1:8" s="4" customFormat="1" ht="36" outlineLevel="3">
      <c r="A21" s="46" t="str">
        <f>'Приложение 2'!A33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2" t="str">
        <f>'Приложение 2'!C33</f>
        <v>0104</v>
      </c>
      <c r="C21" s="72" t="str">
        <f>'Приложение 2'!D33</f>
        <v>90</v>
      </c>
      <c r="D21" s="72">
        <f>'Приложение 2'!E33</f>
        <v>0</v>
      </c>
      <c r="E21" s="72"/>
      <c r="F21" s="58">
        <f>'Приложение 2'!G33</f>
        <v>36162.969999999994</v>
      </c>
      <c r="G21" s="58">
        <f>'Приложение 2'!H33</f>
        <v>36042.68773</v>
      </c>
      <c r="H21" s="64">
        <f t="shared" si="0"/>
        <v>99.66738829802973</v>
      </c>
    </row>
    <row r="22" spans="1:8" s="4" customFormat="1" ht="12.75" outlineLevel="3">
      <c r="A22" s="46" t="str">
        <f>'Приложение 2'!A34</f>
        <v>Центральный аппарат</v>
      </c>
      <c r="B22" s="72" t="str">
        <f>'Приложение 2'!C34</f>
        <v>0104</v>
      </c>
      <c r="C22" s="72" t="str">
        <f>'Приложение 2'!D34</f>
        <v>90</v>
      </c>
      <c r="D22" s="72">
        <f>'Приложение 2'!E34</f>
        <v>0</v>
      </c>
      <c r="E22" s="72"/>
      <c r="F22" s="58">
        <f>'Приложение 2'!G34</f>
        <v>34213.049999999996</v>
      </c>
      <c r="G22" s="58">
        <f>'Приложение 2'!H34</f>
        <v>34092.76773</v>
      </c>
      <c r="H22" s="64">
        <f t="shared" si="0"/>
        <v>99.6484316072376</v>
      </c>
    </row>
    <row r="23" spans="1:8" s="4" customFormat="1" ht="48" outlineLevel="3">
      <c r="A23" s="46" t="str">
        <f>'Приложение 2'!A35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2" t="str">
        <f>'Приложение 2'!C35</f>
        <v>0104</v>
      </c>
      <c r="C23" s="72" t="str">
        <f>'Приложение 2'!D35</f>
        <v>90</v>
      </c>
      <c r="D23" s="72">
        <f>'Приложение 2'!E35</f>
        <v>0</v>
      </c>
      <c r="E23" s="72">
        <f>'Приложение 2'!F35</f>
        <v>100</v>
      </c>
      <c r="F23" s="58">
        <f>'Приложение 2'!G35</f>
        <v>32563.965989999997</v>
      </c>
      <c r="G23" s="58">
        <f>'Приложение 2'!H35</f>
        <v>32563.96599</v>
      </c>
      <c r="H23" s="64">
        <f t="shared" si="0"/>
        <v>100.00000000000003</v>
      </c>
    </row>
    <row r="24" spans="1:8" ht="24" outlineLevel="1">
      <c r="A24" s="46" t="str">
        <f>'Приложение 2'!A36</f>
        <v>Закупка товаров, работ и услуг для государственных (муниципальных) нужд</v>
      </c>
      <c r="B24" s="72" t="str">
        <f>'Приложение 2'!C36</f>
        <v>0104</v>
      </c>
      <c r="C24" s="72" t="str">
        <f>'Приложение 2'!D36</f>
        <v>90</v>
      </c>
      <c r="D24" s="72">
        <f>'Приложение 2'!E36</f>
        <v>0</v>
      </c>
      <c r="E24" s="72">
        <f>'Приложение 2'!F36</f>
        <v>200</v>
      </c>
      <c r="F24" s="58">
        <f>'Приложение 2'!G36</f>
        <v>1649.08401</v>
      </c>
      <c r="G24" s="58">
        <f>'Приложение 2'!H36</f>
        <v>1528.80174</v>
      </c>
      <c r="H24" s="64">
        <f t="shared" si="0"/>
        <v>92.70611628815685</v>
      </c>
    </row>
    <row r="25" spans="1:8" ht="36" outlineLevel="2">
      <c r="A25" s="46" t="str">
        <f>'Приложение 2'!A37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2" t="str">
        <f>'Приложение 2'!C37</f>
        <v>0104</v>
      </c>
      <c r="C25" s="72" t="str">
        <f>'Приложение 2'!D37</f>
        <v>90</v>
      </c>
      <c r="D25" s="72" t="str">
        <f>'Приложение 2'!E37</f>
        <v>0</v>
      </c>
      <c r="E25" s="72"/>
      <c r="F25" s="58">
        <f>'Приложение 2'!G37</f>
        <v>1949.9199999999998</v>
      </c>
      <c r="G25" s="58">
        <f>'Приложение 2'!H37</f>
        <v>1949.92</v>
      </c>
      <c r="H25" s="64">
        <f t="shared" si="0"/>
        <v>100.00000000000003</v>
      </c>
    </row>
    <row r="26" spans="1:8" ht="25.5" customHeight="1" outlineLevel="2">
      <c r="A26" s="46" t="str">
        <f>'Приложение 2'!A38</f>
        <v>За счет субвенции на организационное обеспечение деятельности территориальных административных комиссий</v>
      </c>
      <c r="B26" s="72" t="str">
        <f>'Приложение 2'!C38</f>
        <v>0104</v>
      </c>
      <c r="C26" s="72" t="str">
        <f>'Приложение 2'!D38</f>
        <v>90</v>
      </c>
      <c r="D26" s="72" t="str">
        <f>'Приложение 2'!E38</f>
        <v>0</v>
      </c>
      <c r="E26" s="72"/>
      <c r="F26" s="58">
        <f>'Приложение 2'!G38</f>
        <v>335.41999999999996</v>
      </c>
      <c r="G26" s="58">
        <f>'Приложение 2'!H38</f>
        <v>335.42</v>
      </c>
      <c r="H26" s="64">
        <f t="shared" si="0"/>
        <v>100.00000000000003</v>
      </c>
    </row>
    <row r="27" spans="1:8" ht="48.75" customHeight="1" collapsed="1">
      <c r="A27" s="46" t="str">
        <f>'Приложение 2'!A39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2" t="s">
        <v>40</v>
      </c>
      <c r="C27" s="72" t="s">
        <v>11</v>
      </c>
      <c r="D27" s="70">
        <v>0</v>
      </c>
      <c r="E27" s="71">
        <v>100</v>
      </c>
      <c r="F27" s="58">
        <f>'Приложение 2'!G39</f>
        <v>335.41999999999996</v>
      </c>
      <c r="G27" s="58">
        <f>'Приложение 2'!H39</f>
        <v>335.42</v>
      </c>
      <c r="H27" s="64">
        <f t="shared" si="0"/>
        <v>100.00000000000003</v>
      </c>
    </row>
    <row r="28" spans="1:8" ht="24" hidden="1" outlineLevel="1">
      <c r="A28" s="46" t="str">
        <f>'Приложение 2'!A40</f>
        <v>Закупка товаров, работ и услуг для государственных (муниципальных) нужд</v>
      </c>
      <c r="B28" s="72" t="str">
        <f>'Приложение 2'!C40</f>
        <v>0104</v>
      </c>
      <c r="C28" s="72" t="str">
        <f>'Приложение 2'!D40</f>
        <v>90</v>
      </c>
      <c r="D28" s="72" t="str">
        <f>'Приложение 2'!E40</f>
        <v>0</v>
      </c>
      <c r="E28" s="72">
        <f>'Приложение 2'!F40</f>
        <v>200</v>
      </c>
      <c r="F28" s="58">
        <f>'Приложение 2'!G40</f>
        <v>0</v>
      </c>
      <c r="G28" s="58">
        <f>'Приложение 2'!H40</f>
        <v>0</v>
      </c>
      <c r="H28" s="64" t="e">
        <f t="shared" si="0"/>
        <v>#DIV/0!</v>
      </c>
    </row>
    <row r="29" spans="1:8" ht="25.5" customHeight="1" outlineLevel="2">
      <c r="A29" s="46" t="str">
        <f>'Приложение 2'!A41</f>
        <v>За счет субвенции на организацию и осуществление деятельности по опеке и попечительству</v>
      </c>
      <c r="B29" s="72" t="str">
        <f>'Приложение 2'!C41</f>
        <v>0104</v>
      </c>
      <c r="C29" s="72" t="str">
        <f>'Приложение 2'!D41</f>
        <v>90</v>
      </c>
      <c r="D29" s="72" t="str">
        <f>'Приложение 2'!E41</f>
        <v>0</v>
      </c>
      <c r="E29" s="72"/>
      <c r="F29" s="58">
        <f>'Приложение 2'!G41</f>
        <v>796.6999999999999</v>
      </c>
      <c r="G29" s="58">
        <f>'Приложение 2'!H41</f>
        <v>796.7</v>
      </c>
      <c r="H29" s="64">
        <f t="shared" si="0"/>
        <v>100.00000000000003</v>
      </c>
    </row>
    <row r="30" spans="1:8" ht="48" outlineLevel="1">
      <c r="A30" s="46" t="str">
        <f>'Приложение 2'!A42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2" t="str">
        <f>'Приложение 2'!C42</f>
        <v>0104</v>
      </c>
      <c r="C30" s="72" t="str">
        <f>'Приложение 2'!D42</f>
        <v>90</v>
      </c>
      <c r="D30" s="72" t="str">
        <f>'Приложение 2'!E42</f>
        <v>0</v>
      </c>
      <c r="E30" s="72">
        <f>'Приложение 2'!F42</f>
        <v>100</v>
      </c>
      <c r="F30" s="58">
        <f>'Приложение 2'!G42</f>
        <v>786.6999999999999</v>
      </c>
      <c r="G30" s="58">
        <f>'Приложение 2'!H42</f>
        <v>786.7</v>
      </c>
      <c r="H30" s="64">
        <f t="shared" si="0"/>
        <v>100.00000000000003</v>
      </c>
    </row>
    <row r="31" spans="1:8" ht="24" outlineLevel="5">
      <c r="A31" s="46" t="str">
        <f>'Приложение 2'!A43</f>
        <v>Закупка товаров, работ и услуг для государственных (муниципальных) нужд</v>
      </c>
      <c r="B31" s="72" t="str">
        <f>'Приложение 2'!C43</f>
        <v>0104</v>
      </c>
      <c r="C31" s="72" t="str">
        <f>'Приложение 2'!D43</f>
        <v>90</v>
      </c>
      <c r="D31" s="72" t="str">
        <f>'Приложение 2'!E43</f>
        <v>0</v>
      </c>
      <c r="E31" s="72">
        <f>'Приложение 2'!F43</f>
        <v>200</v>
      </c>
      <c r="F31" s="58">
        <f>'Приложение 2'!G43</f>
        <v>10</v>
      </c>
      <c r="G31" s="58">
        <f>'Приложение 2'!H43</f>
        <v>10</v>
      </c>
      <c r="H31" s="64">
        <f t="shared" si="0"/>
        <v>100</v>
      </c>
    </row>
    <row r="32" spans="1:8" ht="39.75" customHeight="1" outlineLevel="5">
      <c r="A32" s="46" t="str">
        <f>'Приложение 2'!A44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2" t="str">
        <f>'Приложение 2'!C44</f>
        <v>0104</v>
      </c>
      <c r="C32" s="72" t="str">
        <f>'Приложение 2'!D44</f>
        <v>90</v>
      </c>
      <c r="D32" s="72" t="str">
        <f>'Приложение 2'!E44</f>
        <v>0</v>
      </c>
      <c r="E32" s="72"/>
      <c r="F32" s="58">
        <f>'Приложение 2'!G44</f>
        <v>354.5</v>
      </c>
      <c r="G32" s="58">
        <f>'Приложение 2'!H44</f>
        <v>354.5</v>
      </c>
      <c r="H32" s="64">
        <f t="shared" si="0"/>
        <v>100</v>
      </c>
    </row>
    <row r="33" spans="1:8" ht="48" outlineLevel="5">
      <c r="A33" s="46" t="str">
        <f>'Приложение 2'!A45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2" t="str">
        <f>'Приложение 2'!C45</f>
        <v>0104</v>
      </c>
      <c r="C33" s="72" t="str">
        <f>'Приложение 2'!D45</f>
        <v>90</v>
      </c>
      <c r="D33" s="72" t="str">
        <f>'Приложение 2'!E45</f>
        <v>0</v>
      </c>
      <c r="E33" s="72">
        <f>'Приложение 2'!F45</f>
        <v>100</v>
      </c>
      <c r="F33" s="58">
        <f>'Приложение 2'!G45</f>
        <v>354.5</v>
      </c>
      <c r="G33" s="58">
        <f>'Приложение 2'!H45</f>
        <v>354.5</v>
      </c>
      <c r="H33" s="64">
        <f t="shared" si="0"/>
        <v>100</v>
      </c>
    </row>
    <row r="34" spans="1:8" ht="24" hidden="1" outlineLevel="2">
      <c r="A34" s="46" t="str">
        <f>'Приложение 2'!A46</f>
        <v>Закупка товаров, работ и услуг для государственных (муниципальных) нужд</v>
      </c>
      <c r="B34" s="72" t="str">
        <f>'Приложение 2'!C46</f>
        <v>0104</v>
      </c>
      <c r="C34" s="72" t="str">
        <f>'Приложение 2'!D46</f>
        <v>90</v>
      </c>
      <c r="D34" s="72" t="str">
        <f>'Приложение 2'!E46</f>
        <v>0</v>
      </c>
      <c r="E34" s="72">
        <f>'Приложение 2'!F46</f>
        <v>200</v>
      </c>
      <c r="F34" s="58">
        <f>'Приложение 2'!G46</f>
        <v>0</v>
      </c>
      <c r="G34" s="58">
        <f>'Приложение 2'!H46</f>
        <v>0</v>
      </c>
      <c r="H34" s="64" t="e">
        <f t="shared" si="0"/>
        <v>#DIV/0!</v>
      </c>
    </row>
    <row r="35" spans="1:8" ht="60" outlineLevel="4">
      <c r="A35" s="46" t="str">
        <f>'Приложение 2'!A47</f>
        <v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v>
      </c>
      <c r="B35" s="72" t="str">
        <f>'Приложение 2'!C47</f>
        <v>0104</v>
      </c>
      <c r="C35" s="72" t="str">
        <f>'Приложение 2'!D47</f>
        <v>90</v>
      </c>
      <c r="D35" s="72" t="str">
        <f>'Приложение 2'!E47</f>
        <v>0</v>
      </c>
      <c r="E35" s="72"/>
      <c r="F35" s="58">
        <f>'Приложение 2'!G47</f>
        <v>463.3</v>
      </c>
      <c r="G35" s="58">
        <f>'Приложение 2'!H47</f>
        <v>463.29999999999995</v>
      </c>
      <c r="H35" s="64">
        <f t="shared" si="0"/>
        <v>99.99999999999999</v>
      </c>
    </row>
    <row r="36" spans="1:8" ht="48" outlineLevel="4">
      <c r="A36" s="46" t="str">
        <f>'Приложение 2'!A48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2" t="str">
        <f>'Приложение 2'!C48</f>
        <v>0104</v>
      </c>
      <c r="C36" s="72" t="str">
        <f>'Приложение 2'!D48</f>
        <v>90</v>
      </c>
      <c r="D36" s="72" t="str">
        <f>'Приложение 2'!E48</f>
        <v>0</v>
      </c>
      <c r="E36" s="72">
        <f>'Приложение 2'!F48</f>
        <v>100</v>
      </c>
      <c r="F36" s="58">
        <f>'Приложение 2'!G48</f>
        <v>92.70154000000001</v>
      </c>
      <c r="G36" s="58">
        <f>'Приложение 2'!H48</f>
        <v>92.70154</v>
      </c>
      <c r="H36" s="64">
        <f t="shared" si="0"/>
        <v>99.99999999999999</v>
      </c>
    </row>
    <row r="37" spans="1:8" ht="24" outlineLevel="5">
      <c r="A37" s="46" t="str">
        <f>'Приложение 2'!A49</f>
        <v>Закупка товаров, работ и услуг для государственных (муниципальных) нужд</v>
      </c>
      <c r="B37" s="72" t="str">
        <f>'Приложение 2'!C49</f>
        <v>0104</v>
      </c>
      <c r="C37" s="72" t="str">
        <f>'Приложение 2'!D49</f>
        <v>90</v>
      </c>
      <c r="D37" s="72" t="str">
        <f>'Приложение 2'!E49</f>
        <v>0</v>
      </c>
      <c r="E37" s="72">
        <f>'Приложение 2'!F49</f>
        <v>200</v>
      </c>
      <c r="F37" s="58">
        <f>'Приложение 2'!G49</f>
        <v>370.59846</v>
      </c>
      <c r="G37" s="58">
        <f>'Приложение 2'!H49</f>
        <v>370.59846</v>
      </c>
      <c r="H37" s="64">
        <f t="shared" si="0"/>
        <v>100</v>
      </c>
    </row>
    <row r="38" spans="1:8" ht="36" outlineLevel="4">
      <c r="A38" s="46" t="str">
        <f>'Приложение 2'!A50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2" t="str">
        <f>'Приложение 2'!C50</f>
        <v>0104</v>
      </c>
      <c r="C38" s="72" t="str">
        <f>'Приложение 2'!D50</f>
        <v>01</v>
      </c>
      <c r="D38" s="72">
        <f>'Приложение 2'!E50</f>
        <v>0</v>
      </c>
      <c r="E38" s="72"/>
      <c r="F38" s="58">
        <f>'Приложение 2'!G50</f>
        <v>28.291</v>
      </c>
      <c r="G38" s="58">
        <f>'Приложение 2'!H50</f>
        <v>28.291</v>
      </c>
      <c r="H38" s="64">
        <f t="shared" si="0"/>
        <v>100</v>
      </c>
    </row>
    <row r="39" spans="1:8" ht="27" customHeight="1" outlineLevel="4">
      <c r="A39" s="46" t="str">
        <f>'Приложение 2'!A51</f>
        <v>Закупка товаров, работ и услуг для государственных (муниципальных) нужд</v>
      </c>
      <c r="B39" s="72" t="str">
        <f>'Приложение 2'!C51</f>
        <v>0104</v>
      </c>
      <c r="C39" s="72" t="str">
        <f>'Приложение 2'!D51</f>
        <v>01</v>
      </c>
      <c r="D39" s="72">
        <f>'Приложение 2'!E51</f>
        <v>0</v>
      </c>
      <c r="E39" s="72">
        <f>'Приложение 2'!F51</f>
        <v>200</v>
      </c>
      <c r="F39" s="58">
        <f>'Приложение 2'!G51</f>
        <v>28.291</v>
      </c>
      <c r="G39" s="58">
        <f>'Приложение 2'!H51</f>
        <v>28.291</v>
      </c>
      <c r="H39" s="64">
        <f t="shared" si="0"/>
        <v>100</v>
      </c>
    </row>
    <row r="40" spans="1:8" ht="12.75" outlineLevel="4">
      <c r="A40" s="46" t="str">
        <f>'Приложение 2'!A52</f>
        <v>Судебная система</v>
      </c>
      <c r="B40" s="72" t="str">
        <f>'Приложение 2'!C52</f>
        <v>0105</v>
      </c>
      <c r="C40" s="72"/>
      <c r="D40" s="72"/>
      <c r="E40" s="72"/>
      <c r="F40" s="58">
        <f>'Приложение 2'!G52</f>
        <v>0</v>
      </c>
      <c r="G40" s="58">
        <f>'Приложение 2'!H52</f>
        <v>0</v>
      </c>
      <c r="H40" s="64" t="e">
        <f t="shared" si="0"/>
        <v>#DIV/0!</v>
      </c>
    </row>
    <row r="41" spans="1:8" ht="36" outlineLevel="4">
      <c r="A41" s="46" t="str">
        <f>'Приложение 2'!A53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2" t="str">
        <f>'Приложение 2'!C53</f>
        <v>0105</v>
      </c>
      <c r="C41" s="72" t="str">
        <f>'Приложение 2'!D53</f>
        <v>99</v>
      </c>
      <c r="D41" s="72">
        <f>'Приложение 2'!E53</f>
        <v>0</v>
      </c>
      <c r="E41" s="72"/>
      <c r="F41" s="58">
        <f>'Приложение 2'!G53</f>
        <v>0</v>
      </c>
      <c r="G41" s="58">
        <f>'Приложение 2'!H53</f>
        <v>0</v>
      </c>
      <c r="H41" s="64" t="e">
        <f t="shared" si="0"/>
        <v>#DIV/0!</v>
      </c>
    </row>
    <row r="42" spans="1:8" ht="24" outlineLevel="4">
      <c r="A42" s="46" t="str">
        <f>'Приложение 2'!A54</f>
        <v>Непрограммные расходы органов местного самоуправления Алексеевского муниципального района</v>
      </c>
      <c r="B42" s="72" t="str">
        <f>'Приложение 2'!C54</f>
        <v>0105</v>
      </c>
      <c r="C42" s="72" t="str">
        <f>'Приложение 2'!D54</f>
        <v>99</v>
      </c>
      <c r="D42" s="72">
        <f>'Приложение 2'!E54</f>
        <v>0</v>
      </c>
      <c r="E42" s="72"/>
      <c r="F42" s="58">
        <f>'Приложение 2'!G54</f>
        <v>0</v>
      </c>
      <c r="G42" s="58">
        <f>'Приложение 2'!H54</f>
        <v>0</v>
      </c>
      <c r="H42" s="64" t="e">
        <f t="shared" si="0"/>
        <v>#DIV/0!</v>
      </c>
    </row>
    <row r="43" spans="1:8" ht="24" outlineLevel="4">
      <c r="A43" s="46" t="str">
        <f>'Приложение 2'!A55</f>
        <v>Закупка товаров, работ и услуг для государственных (муниципальных) нужд</v>
      </c>
      <c r="B43" s="72" t="str">
        <f>'Приложение 2'!C55</f>
        <v>0105</v>
      </c>
      <c r="C43" s="72" t="str">
        <f>'Приложение 2'!D55</f>
        <v>99</v>
      </c>
      <c r="D43" s="72">
        <f>'Приложение 2'!E55</f>
        <v>0</v>
      </c>
      <c r="E43" s="72">
        <f>'Приложение 2'!F55</f>
        <v>200</v>
      </c>
      <c r="F43" s="58">
        <f>'Приложение 2'!G55</f>
        <v>0</v>
      </c>
      <c r="G43" s="58">
        <f>'Приложение 2'!H55</f>
        <v>0</v>
      </c>
      <c r="H43" s="64" t="e">
        <f t="shared" si="0"/>
        <v>#DIV/0!</v>
      </c>
    </row>
    <row r="44" spans="1:8" ht="36" outlineLevel="2">
      <c r="A44" s="45" t="str">
        <f>'Приложение 2'!A21</f>
        <v>Обеспечение деятельности финансовых, налоговых и таможенных органов и органов финансового (финансово-бюджетного) надзора</v>
      </c>
      <c r="B44" s="72" t="str">
        <f>'Приложение 2'!C21</f>
        <v>0106</v>
      </c>
      <c r="C44" s="72"/>
      <c r="D44" s="72"/>
      <c r="E44" s="72"/>
      <c r="F44" s="58">
        <f>'Приложение 2'!G20</f>
        <v>1735.74588</v>
      </c>
      <c r="G44" s="58">
        <f>'Приложение 2'!H20</f>
        <v>1735.74588</v>
      </c>
      <c r="H44" s="64">
        <f t="shared" si="0"/>
        <v>100</v>
      </c>
    </row>
    <row r="45" spans="1:8" ht="36" outlineLevel="2">
      <c r="A45" s="45" t="str">
        <f>'Приложение 2'!A22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2" t="str">
        <f>'Приложение 2'!C22</f>
        <v>0106</v>
      </c>
      <c r="C45" s="72" t="str">
        <f>'Приложение 2'!D22</f>
        <v>90</v>
      </c>
      <c r="D45" s="72" t="str">
        <f>'Приложение 2'!E22</f>
        <v>0</v>
      </c>
      <c r="E45" s="72"/>
      <c r="F45" s="58">
        <f>'Приложение 2'!G21</f>
        <v>1735.74588</v>
      </c>
      <c r="G45" s="58">
        <f>'Приложение 2'!H21</f>
        <v>1735.74588</v>
      </c>
      <c r="H45" s="64">
        <f t="shared" si="0"/>
        <v>100</v>
      </c>
    </row>
    <row r="46" spans="1:8" ht="48" outlineLevel="2">
      <c r="A46" s="45" t="str">
        <f>'Приложение 2'!A23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2" t="str">
        <f>'Приложение 2'!C23</f>
        <v>0106</v>
      </c>
      <c r="C46" s="72" t="str">
        <f>'Приложение 2'!D23</f>
        <v>90</v>
      </c>
      <c r="D46" s="72" t="str">
        <f>'Приложение 2'!E23</f>
        <v>0</v>
      </c>
      <c r="E46" s="72">
        <f>'Приложение 2'!F23</f>
        <v>100</v>
      </c>
      <c r="F46" s="58">
        <f>'Приложение 2'!G23</f>
        <v>1730.72207</v>
      </c>
      <c r="G46" s="58">
        <f>'Приложение 2'!H23</f>
        <v>1730.72207</v>
      </c>
      <c r="H46" s="64">
        <f t="shared" si="0"/>
        <v>100</v>
      </c>
    </row>
    <row r="47" spans="1:8" ht="24" outlineLevel="2">
      <c r="A47" s="45" t="str">
        <f>'Приложение 2'!A24</f>
        <v>Закупка товаров, работ и услуг для государственных (муниципальных) нужд</v>
      </c>
      <c r="B47" s="72" t="str">
        <f>'Приложение 2'!C24</f>
        <v>0106</v>
      </c>
      <c r="C47" s="72" t="str">
        <f>'Приложение 2'!D24</f>
        <v>90</v>
      </c>
      <c r="D47" s="72">
        <f>'Приложение 2'!E24</f>
        <v>0</v>
      </c>
      <c r="E47" s="72">
        <f>'Приложение 2'!F24</f>
        <v>200</v>
      </c>
      <c r="F47" s="58">
        <f>'Приложение 2'!G24</f>
        <v>0</v>
      </c>
      <c r="G47" s="58">
        <f>'Приложение 2'!H24</f>
        <v>0</v>
      </c>
      <c r="H47" s="64" t="e">
        <f t="shared" si="0"/>
        <v>#DIV/0!</v>
      </c>
    </row>
    <row r="48" spans="1:8" ht="28.5" customHeight="1" outlineLevel="2">
      <c r="A48" s="45" t="str">
        <f>'Приложение 2'!A25</f>
        <v>Непрограммные расходы органов местного самоуправления Алексеевского муниципального района</v>
      </c>
      <c r="B48" s="72" t="str">
        <f>'Приложение 2'!C25</f>
        <v>0106</v>
      </c>
      <c r="C48" s="72" t="str">
        <f>'Приложение 2'!D25</f>
        <v>99</v>
      </c>
      <c r="D48" s="72">
        <f>'Приложение 2'!E25</f>
        <v>0</v>
      </c>
      <c r="E48" s="72"/>
      <c r="F48" s="58">
        <f>'Приложение 2'!G25</f>
        <v>5.02381</v>
      </c>
      <c r="G48" s="58">
        <f>'Приложение 2'!H25</f>
        <v>5.02381</v>
      </c>
      <c r="H48" s="64">
        <f t="shared" si="0"/>
        <v>100</v>
      </c>
    </row>
    <row r="49" spans="1:8" ht="12.75" outlineLevel="2">
      <c r="A49" s="45" t="str">
        <f>'Приложение 2'!A26</f>
        <v>Иные бюджетные ассигнования</v>
      </c>
      <c r="B49" s="72" t="str">
        <f>'Приложение 2'!C26</f>
        <v>0106</v>
      </c>
      <c r="C49" s="72" t="str">
        <f>'Приложение 2'!D26</f>
        <v>99</v>
      </c>
      <c r="D49" s="72">
        <f>'Приложение 2'!E26</f>
        <v>0</v>
      </c>
      <c r="E49" s="72">
        <f>'Приложение 2'!F26</f>
        <v>800</v>
      </c>
      <c r="F49" s="58">
        <f>'Приложение 2'!G26</f>
        <v>5.02381</v>
      </c>
      <c r="G49" s="58">
        <f>'Приложение 2'!H26</f>
        <v>5.02381</v>
      </c>
      <c r="H49" s="64">
        <f t="shared" si="0"/>
        <v>100</v>
      </c>
    </row>
    <row r="50" spans="1:8" ht="1.5" customHeight="1" hidden="1" outlineLevel="2">
      <c r="A50" s="45" t="str">
        <f>'Приложение 2'!A56</f>
        <v>Обеспечение проведения выборов и референдумов</v>
      </c>
      <c r="B50" s="72" t="str">
        <f>'Приложение 2'!C56</f>
        <v>0107</v>
      </c>
      <c r="C50" s="72"/>
      <c r="D50" s="72"/>
      <c r="E50" s="72"/>
      <c r="F50" s="58">
        <f>'Приложение 2'!G56</f>
        <v>0</v>
      </c>
      <c r="G50" s="58">
        <f>'Приложение 2'!H56</f>
        <v>0</v>
      </c>
      <c r="H50" s="64" t="e">
        <f t="shared" si="0"/>
        <v>#DIV/0!</v>
      </c>
    </row>
    <row r="51" spans="1:8" ht="0.75" customHeight="1" hidden="1" outlineLevel="2">
      <c r="A51" s="45" t="str">
        <f>'Приложение 2'!A57</f>
        <v>Проведение выборов и референдумов</v>
      </c>
      <c r="B51" s="72" t="str">
        <f>'Приложение 2'!C57</f>
        <v>0107</v>
      </c>
      <c r="C51" s="72" t="str">
        <f>'Приложение 2'!D57</f>
        <v>99</v>
      </c>
      <c r="D51" s="72" t="str">
        <f>'Приложение 2'!E57</f>
        <v>0</v>
      </c>
      <c r="E51" s="72"/>
      <c r="F51" s="58">
        <f>'Приложение 2'!G57</f>
        <v>0</v>
      </c>
      <c r="G51" s="58">
        <f>'Приложение 2'!H57</f>
        <v>0</v>
      </c>
      <c r="H51" s="64" t="e">
        <f t="shared" si="0"/>
        <v>#DIV/0!</v>
      </c>
    </row>
    <row r="52" spans="1:8" ht="30" customHeight="1" hidden="1" outlineLevel="5">
      <c r="A52" s="45" t="str">
        <f>'Приложение 2'!A58</f>
        <v>Непрограммные расходы органов местного самоуправления Алексеевского муниципального района</v>
      </c>
      <c r="B52" s="72" t="str">
        <f>'Приложение 2'!C58</f>
        <v>0107</v>
      </c>
      <c r="C52" s="72" t="str">
        <f>'Приложение 2'!D58</f>
        <v>99</v>
      </c>
      <c r="D52" s="72" t="str">
        <f>'Приложение 2'!E58</f>
        <v>0</v>
      </c>
      <c r="E52" s="72"/>
      <c r="F52" s="58">
        <f>'Приложение 2'!G58</f>
        <v>0</v>
      </c>
      <c r="G52" s="58">
        <f>'Приложение 2'!H58</f>
        <v>0</v>
      </c>
      <c r="H52" s="64" t="e">
        <f t="shared" si="0"/>
        <v>#DIV/0!</v>
      </c>
    </row>
    <row r="53" spans="1:8" ht="24" hidden="1" outlineLevel="5">
      <c r="A53" s="45" t="str">
        <f>'Приложение 2'!A59</f>
        <v>Закупка товаров, работ и услуг для государственных (муниципальных) нужд</v>
      </c>
      <c r="B53" s="72" t="str">
        <f>'Приложение 2'!C59</f>
        <v>0107</v>
      </c>
      <c r="C53" s="72" t="str">
        <f>'Приложение 2'!D59</f>
        <v>99</v>
      </c>
      <c r="D53" s="72">
        <f>'Приложение 2'!E59</f>
        <v>0</v>
      </c>
      <c r="E53" s="72">
        <f>'Приложение 2'!F59</f>
        <v>200</v>
      </c>
      <c r="F53" s="58">
        <f>'Приложение 2'!G59</f>
        <v>0</v>
      </c>
      <c r="G53" s="58">
        <f>'Приложение 2'!H59</f>
        <v>0</v>
      </c>
      <c r="H53" s="64" t="e">
        <f t="shared" si="0"/>
        <v>#DIV/0!</v>
      </c>
    </row>
    <row r="54" spans="1:8" ht="12.75" outlineLevel="5">
      <c r="A54" s="45" t="str">
        <f>'Приложение 2'!A60</f>
        <v>Резервные фонды</v>
      </c>
      <c r="B54" s="72" t="str">
        <f>'Приложение 2'!C60</f>
        <v>0111</v>
      </c>
      <c r="C54" s="72"/>
      <c r="D54" s="72"/>
      <c r="E54" s="72"/>
      <c r="F54" s="58">
        <f>'Приложение 2'!G60</f>
        <v>0</v>
      </c>
      <c r="G54" s="58">
        <f>'Приложение 2'!H60</f>
        <v>0</v>
      </c>
      <c r="H54" s="64" t="e">
        <f t="shared" si="0"/>
        <v>#DIV/0!</v>
      </c>
    </row>
    <row r="55" spans="1:8" ht="28.5" customHeight="1" outlineLevel="1">
      <c r="A55" s="45" t="str">
        <f>'Приложение 2'!A61</f>
        <v>Непрограммные расходы органов местного самоуправления Алексеевского муниципального района</v>
      </c>
      <c r="B55" s="72" t="str">
        <f>'Приложение 2'!C61</f>
        <v>0111</v>
      </c>
      <c r="C55" s="72" t="str">
        <f>'Приложение 2'!D61</f>
        <v>99</v>
      </c>
      <c r="D55" s="72" t="str">
        <f>'Приложение 2'!E61</f>
        <v>0</v>
      </c>
      <c r="E55" s="72"/>
      <c r="F55" s="58">
        <f>'Приложение 2'!G61</f>
        <v>0</v>
      </c>
      <c r="G55" s="58">
        <f>'Приложение 2'!H61</f>
        <v>0</v>
      </c>
      <c r="H55" s="64" t="e">
        <f t="shared" si="0"/>
        <v>#DIV/0!</v>
      </c>
    </row>
    <row r="56" spans="1:8" ht="17.25" customHeight="1" outlineLevel="2">
      <c r="A56" s="45" t="str">
        <f>'Приложение 2'!A62</f>
        <v>Иные бюджетные ассигнования</v>
      </c>
      <c r="B56" s="72" t="str">
        <f>'Приложение 2'!C62</f>
        <v>0111</v>
      </c>
      <c r="C56" s="72" t="str">
        <f>'Приложение 2'!D62</f>
        <v>99</v>
      </c>
      <c r="D56" s="72" t="str">
        <f>'Приложение 2'!E62</f>
        <v>0</v>
      </c>
      <c r="E56" s="72">
        <f>'Приложение 2'!F62</f>
        <v>800</v>
      </c>
      <c r="F56" s="58">
        <f>'Приложение 2'!G62</f>
        <v>0</v>
      </c>
      <c r="G56" s="58">
        <f>'Приложение 2'!H62</f>
        <v>0</v>
      </c>
      <c r="H56" s="64" t="e">
        <f t="shared" si="0"/>
        <v>#DIV/0!</v>
      </c>
    </row>
    <row r="57" spans="1:8" ht="15" customHeight="1" outlineLevel="2">
      <c r="A57" s="45" t="str">
        <f>'Приложение 2'!A63</f>
        <v>Другие общегосударственные вопросы</v>
      </c>
      <c r="B57" s="72" t="str">
        <f>'Приложение 2'!C63</f>
        <v>0113</v>
      </c>
      <c r="C57" s="72"/>
      <c r="D57" s="72"/>
      <c r="E57" s="72"/>
      <c r="F57" s="58">
        <f>'Приложение 2'!G63</f>
        <v>56431.41638</v>
      </c>
      <c r="G57" s="58">
        <f>'Приложение 2'!H63</f>
        <v>55459.48775</v>
      </c>
      <c r="H57" s="64">
        <f t="shared" si="0"/>
        <v>98.27768166679498</v>
      </c>
    </row>
    <row r="58" spans="1:8" ht="36" outlineLevel="2">
      <c r="A58" s="45" t="str">
        <f>'Приложение 2'!A64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72" t="str">
        <f>'Приложение 2'!C64</f>
        <v>0113</v>
      </c>
      <c r="C58" s="72" t="str">
        <f>'Приложение 2'!D64</f>
        <v>02</v>
      </c>
      <c r="D58" s="72">
        <f>'Приложение 2'!E64</f>
        <v>0</v>
      </c>
      <c r="E58" s="72"/>
      <c r="F58" s="58">
        <f>'Приложение 2'!G64</f>
        <v>2246.4840000000004</v>
      </c>
      <c r="G58" s="58">
        <f>'Приложение 2'!H64</f>
        <v>2246.4840000000004</v>
      </c>
      <c r="H58" s="64">
        <f t="shared" si="0"/>
        <v>100</v>
      </c>
    </row>
    <row r="59" spans="1:8" ht="36" outlineLevel="2">
      <c r="A59" s="45" t="str">
        <f>'Приложение 2'!A65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2" t="str">
        <f>'Приложение 2'!C65</f>
        <v>0113</v>
      </c>
      <c r="C59" s="72" t="str">
        <f>'Приложение 2'!D65</f>
        <v>02</v>
      </c>
      <c r="D59" s="72">
        <f>'Приложение 2'!E65</f>
        <v>3</v>
      </c>
      <c r="E59" s="72"/>
      <c r="F59" s="58">
        <f>'Приложение 2'!G65</f>
        <v>1741.178</v>
      </c>
      <c r="G59" s="58">
        <f>'Приложение 2'!H65</f>
        <v>1741.178</v>
      </c>
      <c r="H59" s="64">
        <f t="shared" si="0"/>
        <v>100</v>
      </c>
    </row>
    <row r="60" spans="1:8" ht="24" outlineLevel="2">
      <c r="A60" s="45" t="str">
        <f>'Приложение 2'!A66</f>
        <v>Предоставление субсидий бюджетным, автономным учреждениям и иным некоммерческим организациям</v>
      </c>
      <c r="B60" s="72" t="str">
        <f>'Приложение 2'!C66</f>
        <v>0113</v>
      </c>
      <c r="C60" s="72" t="str">
        <f>'Приложение 2'!D66</f>
        <v>02</v>
      </c>
      <c r="D60" s="72">
        <f>'Приложение 2'!E66</f>
        <v>3</v>
      </c>
      <c r="E60" s="72" t="s">
        <v>167</v>
      </c>
      <c r="F60" s="58">
        <f>'Приложение 2'!G66</f>
        <v>1741.178</v>
      </c>
      <c r="G60" s="58">
        <f>'Приложение 2'!H66</f>
        <v>1741.178</v>
      </c>
      <c r="H60" s="64">
        <f t="shared" si="0"/>
        <v>100</v>
      </c>
    </row>
    <row r="61" spans="1:8" ht="36.75" customHeight="1" outlineLevel="2">
      <c r="A61" s="45" t="str">
        <f>'Приложение 2'!A67</f>
        <v>Подпрограмма "Энергосбережение и повышение энергетической эффективности Алексеевского муниципального района"</v>
      </c>
      <c r="B61" s="72" t="str">
        <f>'Приложение 2'!C67</f>
        <v>0113</v>
      </c>
      <c r="C61" s="72" t="str">
        <f>'Приложение 2'!D67</f>
        <v>02</v>
      </c>
      <c r="D61" s="72">
        <f>'Приложение 2'!E67</f>
        <v>4</v>
      </c>
      <c r="E61" s="72"/>
      <c r="F61" s="58">
        <f>'Приложение 2'!G67</f>
        <v>505.30600000000004</v>
      </c>
      <c r="G61" s="58">
        <f>'Приложение 2'!H67</f>
        <v>505.30600000000004</v>
      </c>
      <c r="H61" s="64">
        <f t="shared" si="0"/>
        <v>100</v>
      </c>
    </row>
    <row r="62" spans="1:8" ht="27" customHeight="1" outlineLevel="2">
      <c r="A62" s="45" t="str">
        <f>'Приложение 2'!A68</f>
        <v>Предоставление субсидий бюджетным, автономным учреждениям и иным некоммерческим организациям</v>
      </c>
      <c r="B62" s="72" t="str">
        <f>'Приложение 2'!C68</f>
        <v>0113</v>
      </c>
      <c r="C62" s="72" t="str">
        <f>'Приложение 2'!D68</f>
        <v>02</v>
      </c>
      <c r="D62" s="72">
        <f>'Приложение 2'!E68</f>
        <v>4</v>
      </c>
      <c r="E62" s="72">
        <f>'Приложение 2'!F68</f>
        <v>600</v>
      </c>
      <c r="F62" s="58">
        <f>'Приложение 2'!G68</f>
        <v>505.30600000000004</v>
      </c>
      <c r="G62" s="58">
        <f>'Приложение 2'!H68</f>
        <v>505.30600000000004</v>
      </c>
      <c r="H62" s="64">
        <f t="shared" si="0"/>
        <v>100</v>
      </c>
    </row>
    <row r="63" spans="1:8" ht="55.5" customHeight="1" outlineLevel="2">
      <c r="A63" s="45" t="str">
        <f>'Приложение 2'!A69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63" s="72" t="str">
        <f>'Приложение 2'!C69</f>
        <v>0113</v>
      </c>
      <c r="C63" s="72" t="str">
        <f>'Приложение 2'!D69</f>
        <v>07</v>
      </c>
      <c r="D63" s="72">
        <f>'Приложение 2'!E69</f>
        <v>0</v>
      </c>
      <c r="E63" s="72"/>
      <c r="F63" s="58">
        <f>'Приложение 2'!G69</f>
        <v>10.6</v>
      </c>
      <c r="G63" s="58">
        <f>'Приложение 2'!H69</f>
        <v>0</v>
      </c>
      <c r="H63" s="64">
        <f t="shared" si="0"/>
        <v>0</v>
      </c>
    </row>
    <row r="64" spans="1:8" ht="29.25" customHeight="1" outlineLevel="2">
      <c r="A64" s="45" t="str">
        <f>'Приложение 2'!A70</f>
        <v>Подпрограмма "Реализация мероприятий молодежной политики и социальной адаптации молодежи "</v>
      </c>
      <c r="B64" s="72" t="str">
        <f>'Приложение 2'!C70</f>
        <v>0113</v>
      </c>
      <c r="C64" s="72" t="str">
        <f>'Приложение 2'!D70</f>
        <v>07</v>
      </c>
      <c r="D64" s="72">
        <f>'Приложение 2'!E70</f>
        <v>2</v>
      </c>
      <c r="E64" s="72">
        <f>'Приложение 2'!F70</f>
        <v>0</v>
      </c>
      <c r="F64" s="58">
        <f>'Приложение 2'!G70</f>
        <v>10.6</v>
      </c>
      <c r="G64" s="58">
        <f>'Приложение 2'!H70</f>
        <v>0</v>
      </c>
      <c r="H64" s="64">
        <f t="shared" si="0"/>
        <v>0</v>
      </c>
    </row>
    <row r="65" spans="1:8" ht="74.25" customHeight="1" outlineLevel="2">
      <c r="A65" s="45" t="str">
        <f>'Приложение 2'!A71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65" s="72" t="str">
        <f>'Приложение 2'!C71</f>
        <v>0113</v>
      </c>
      <c r="C65" s="72" t="str">
        <f>'Приложение 2'!D71</f>
        <v>07</v>
      </c>
      <c r="D65" s="72">
        <f>'Приложение 2'!E71</f>
        <v>2</v>
      </c>
      <c r="E65" s="72">
        <f>'Приложение 2'!F71</f>
        <v>200</v>
      </c>
      <c r="F65" s="58">
        <f>'Приложение 2'!G71</f>
        <v>10.6</v>
      </c>
      <c r="G65" s="58">
        <f>'Приложение 2'!H71</f>
        <v>0</v>
      </c>
      <c r="H65" s="64">
        <f t="shared" si="0"/>
        <v>0</v>
      </c>
    </row>
    <row r="66" spans="1:8" ht="21.75" customHeight="1" outlineLevel="2">
      <c r="A66" s="45" t="str">
        <f>'Приложение 2'!A72</f>
        <v>Муниципальная программа "Маршрут Победы на 2019-2023 годы"</v>
      </c>
      <c r="B66" s="72" t="str">
        <f>'Приложение 2'!C72</f>
        <v>0113</v>
      </c>
      <c r="C66" s="72" t="str">
        <f>'Приложение 2'!D72</f>
        <v>15</v>
      </c>
      <c r="D66" s="72">
        <f>'Приложение 2'!E72</f>
        <v>0</v>
      </c>
      <c r="E66" s="72"/>
      <c r="F66" s="58">
        <f>'Приложение 2'!G72</f>
        <v>116.34</v>
      </c>
      <c r="G66" s="58">
        <f>'Приложение 2'!H72</f>
        <v>100.7</v>
      </c>
      <c r="H66" s="64">
        <f t="shared" si="0"/>
        <v>86.55664431837718</v>
      </c>
    </row>
    <row r="67" spans="1:8" ht="24" outlineLevel="2">
      <c r="A67" s="45" t="str">
        <f>'Приложение 2'!A73</f>
        <v>Закупка товаров, работ и услуг для государственных (муниципальных) нужд</v>
      </c>
      <c r="B67" s="72" t="str">
        <f>'Приложение 2'!C73</f>
        <v>0113</v>
      </c>
      <c r="C67" s="72" t="str">
        <f>'Приложение 2'!D73</f>
        <v>15</v>
      </c>
      <c r="D67" s="72">
        <f>'Приложение 2'!E73</f>
        <v>0</v>
      </c>
      <c r="E67" s="72">
        <f>'Приложение 2'!F73</f>
        <v>200</v>
      </c>
      <c r="F67" s="58">
        <f>'Приложение 2'!G73</f>
        <v>100.7</v>
      </c>
      <c r="G67" s="58">
        <f>'Приложение 2'!H73</f>
        <v>100.7</v>
      </c>
      <c r="H67" s="64">
        <f t="shared" si="0"/>
        <v>100</v>
      </c>
    </row>
    <row r="68" spans="1:8" ht="87.75" customHeight="1" outlineLevel="2">
      <c r="A68" s="45" t="str">
        <f>'Приложение 2'!A74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v>
      </c>
      <c r="B68" s="72" t="str">
        <f>'Приложение 2'!C74</f>
        <v>0113</v>
      </c>
      <c r="C68" s="72" t="str">
        <f>'Приложение 2'!D74</f>
        <v>15</v>
      </c>
      <c r="D68" s="72">
        <f>'Приложение 2'!E74</f>
        <v>0</v>
      </c>
      <c r="E68" s="72">
        <f>'Приложение 2'!F74</f>
        <v>200</v>
      </c>
      <c r="F68" s="58">
        <f>'Приложение 2'!G74</f>
        <v>15.64</v>
      </c>
      <c r="G68" s="58">
        <f>'Приложение 2'!H74</f>
        <v>0</v>
      </c>
      <c r="H68" s="64">
        <f t="shared" si="0"/>
        <v>0</v>
      </c>
    </row>
    <row r="69" spans="1:8" ht="39" customHeight="1" outlineLevel="2">
      <c r="A69" s="45" t="str">
        <f>'Приложение 2'!A75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9" s="72" t="str">
        <f>'Приложение 2'!C75</f>
        <v>0113</v>
      </c>
      <c r="C69" s="72" t="str">
        <f>'Приложение 2'!D75</f>
        <v>20</v>
      </c>
      <c r="D69" s="72">
        <f>'Приложение 2'!E75</f>
        <v>0</v>
      </c>
      <c r="E69" s="72"/>
      <c r="F69" s="58">
        <f>'Приложение 2'!G75</f>
        <v>0</v>
      </c>
      <c r="G69" s="58">
        <f>'Приложение 2'!H75</f>
        <v>0</v>
      </c>
      <c r="H69" s="64" t="e">
        <f t="shared" si="0"/>
        <v>#DIV/0!</v>
      </c>
    </row>
    <row r="70" spans="1:8" ht="19.5" customHeight="1" outlineLevel="2">
      <c r="A70" s="45" t="str">
        <f>'Приложение 2'!A76</f>
        <v>Подпрограмма "Профилактика правонарушений"</v>
      </c>
      <c r="B70" s="72" t="str">
        <f>'Приложение 2'!C76</f>
        <v>0113</v>
      </c>
      <c r="C70" s="72" t="str">
        <f>'Приложение 2'!D76</f>
        <v>20</v>
      </c>
      <c r="D70" s="72">
        <f>'Приложение 2'!E76</f>
        <v>1</v>
      </c>
      <c r="E70" s="72"/>
      <c r="F70" s="58">
        <f>'Приложение 2'!G76</f>
        <v>0</v>
      </c>
      <c r="G70" s="58">
        <f>'Приложение 2'!H76</f>
        <v>0</v>
      </c>
      <c r="H70" s="64" t="e">
        <f t="shared" si="0"/>
        <v>#DIV/0!</v>
      </c>
    </row>
    <row r="71" spans="1:8" ht="24" outlineLevel="2">
      <c r="A71" s="45" t="str">
        <f>'Приложение 2'!A77</f>
        <v>Закупка товаров, работ и услуг для государственных (муниципальных) нужд</v>
      </c>
      <c r="B71" s="72" t="str">
        <f>'Приложение 2'!C77</f>
        <v>0113</v>
      </c>
      <c r="C71" s="72" t="str">
        <f>'Приложение 2'!D77</f>
        <v>20</v>
      </c>
      <c r="D71" s="72">
        <f>'Приложение 2'!E77</f>
        <v>1</v>
      </c>
      <c r="E71" s="72">
        <f>'Приложение 2'!F77</f>
        <v>200</v>
      </c>
      <c r="F71" s="58">
        <f>'Приложение 2'!G77</f>
        <v>0</v>
      </c>
      <c r="G71" s="58">
        <f>'Приложение 2'!H77</f>
        <v>0</v>
      </c>
      <c r="H71" s="64" t="e">
        <f t="shared" si="0"/>
        <v>#DIV/0!</v>
      </c>
    </row>
    <row r="72" spans="1:8" ht="24" outlineLevel="2">
      <c r="A72" s="45" t="str">
        <f>'Приложение 2'!A78</f>
        <v>Подпрограмма "Формирование законопослушного поведения участников дорожного движения"</v>
      </c>
      <c r="B72" s="72" t="str">
        <f>'Приложение 2'!C78</f>
        <v>0113</v>
      </c>
      <c r="C72" s="72" t="str">
        <f>'Приложение 2'!D78</f>
        <v>20</v>
      </c>
      <c r="D72" s="72">
        <f>'Приложение 2'!E78</f>
        <v>2</v>
      </c>
      <c r="E72" s="72"/>
      <c r="F72" s="58">
        <f>'Приложение 2'!G78</f>
        <v>0</v>
      </c>
      <c r="G72" s="58">
        <f>'Приложение 2'!H78</f>
        <v>0</v>
      </c>
      <c r="H72" s="64" t="e">
        <f t="shared" si="0"/>
        <v>#DIV/0!</v>
      </c>
    </row>
    <row r="73" spans="1:8" ht="24" outlineLevel="2">
      <c r="A73" s="45" t="str">
        <f>'Приложение 2'!A79</f>
        <v>Закупка товаров, работ и услуг для государственных (муниципальных) нужд</v>
      </c>
      <c r="B73" s="72" t="str">
        <f>'Приложение 2'!C79</f>
        <v>0113</v>
      </c>
      <c r="C73" s="72" t="str">
        <f>'Приложение 2'!D79</f>
        <v>20</v>
      </c>
      <c r="D73" s="72">
        <f>'Приложение 2'!E79</f>
        <v>2</v>
      </c>
      <c r="E73" s="72">
        <f>'Приложение 2'!F79</f>
        <v>200</v>
      </c>
      <c r="F73" s="58">
        <f>'Приложение 2'!G79</f>
        <v>0</v>
      </c>
      <c r="G73" s="58">
        <f>'Приложение 2'!H79</f>
        <v>0</v>
      </c>
      <c r="H73" s="64" t="e">
        <f t="shared" si="0"/>
        <v>#DIV/0!</v>
      </c>
    </row>
    <row r="74" spans="1:8" ht="36" hidden="1" outlineLevel="2">
      <c r="A74" s="45" t="str">
        <f>'Приложение 2'!A80</f>
        <v>Муниципальная программа "Улучшение условий и охраны труда в Алексеевском муниципальном районе на 2017-2019 годы"</v>
      </c>
      <c r="B74" s="72" t="str">
        <f>'Приложение 2'!C80</f>
        <v>0113</v>
      </c>
      <c r="C74" s="72" t="str">
        <f>'Приложение 2'!D80</f>
        <v>21</v>
      </c>
      <c r="D74" s="72">
        <f>'Приложение 2'!E80</f>
        <v>0</v>
      </c>
      <c r="E74" s="72"/>
      <c r="F74" s="58">
        <f>'Приложение 2'!G80</f>
        <v>0</v>
      </c>
      <c r="G74" s="58">
        <f>'Приложение 2'!H80</f>
        <v>0</v>
      </c>
      <c r="H74" s="64" t="e">
        <f aca="true" t="shared" si="1" ref="H74:H137">SUM(G74/F74)*100</f>
        <v>#DIV/0!</v>
      </c>
    </row>
    <row r="75" spans="1:8" ht="24" hidden="1" outlineLevel="2">
      <c r="A75" s="45" t="str">
        <f>'Приложение 2'!A81</f>
        <v>Закупка товаров, работ и услуг для государственных (муниципальных) нужд</v>
      </c>
      <c r="B75" s="72" t="str">
        <f>'Приложение 2'!C81</f>
        <v>0113</v>
      </c>
      <c r="C75" s="72" t="str">
        <f>'Приложение 2'!D81</f>
        <v>21</v>
      </c>
      <c r="D75" s="72">
        <f>'Приложение 2'!E81</f>
        <v>0</v>
      </c>
      <c r="E75" s="72">
        <f>'Приложение 2'!F81</f>
        <v>200</v>
      </c>
      <c r="F75" s="58">
        <f>'Приложение 2'!G81</f>
        <v>0</v>
      </c>
      <c r="G75" s="58">
        <f>'Приложение 2'!H81</f>
        <v>0</v>
      </c>
      <c r="H75" s="64" t="e">
        <f t="shared" si="1"/>
        <v>#DIV/0!</v>
      </c>
    </row>
    <row r="76" spans="1:8" ht="36" outlineLevel="2">
      <c r="A76" s="45" t="str">
        <f>'Приложение 2'!A82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6" s="72" t="str">
        <f>'Приложение 2'!C82</f>
        <v>0113</v>
      </c>
      <c r="C76" s="72" t="str">
        <f>'Приложение 2'!D82</f>
        <v>23</v>
      </c>
      <c r="D76" s="72">
        <f>'Приложение 2'!E82</f>
        <v>0</v>
      </c>
      <c r="E76" s="72"/>
      <c r="F76" s="58">
        <f>'Приложение 2'!G82</f>
        <v>0</v>
      </c>
      <c r="G76" s="58">
        <f>'Приложение 2'!H82</f>
        <v>0</v>
      </c>
      <c r="H76" s="64" t="e">
        <f t="shared" si="1"/>
        <v>#DIV/0!</v>
      </c>
    </row>
    <row r="77" spans="1:8" ht="24" outlineLevel="2">
      <c r="A77" s="45" t="str">
        <f>'Приложение 2'!A83</f>
        <v>Закупка товаров, работ и услуг для государственных (муниципальных) нужд</v>
      </c>
      <c r="B77" s="72" t="str">
        <f>'Приложение 2'!C83</f>
        <v>0113</v>
      </c>
      <c r="C77" s="72" t="str">
        <f>'Приложение 2'!D83</f>
        <v>23</v>
      </c>
      <c r="D77" s="72">
        <f>'Приложение 2'!E83</f>
        <v>0</v>
      </c>
      <c r="E77" s="72">
        <f>'Приложение 2'!F83</f>
        <v>200</v>
      </c>
      <c r="F77" s="58">
        <f>'Приложение 2'!G83</f>
        <v>0</v>
      </c>
      <c r="G77" s="58">
        <f>'Приложение 2'!H83</f>
        <v>0</v>
      </c>
      <c r="H77" s="64" t="e">
        <f t="shared" si="1"/>
        <v>#DIV/0!</v>
      </c>
    </row>
    <row r="78" spans="1:8" ht="60" outlineLevel="2">
      <c r="A78" s="45" t="str">
        <f>'Приложение 2'!A84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8" s="72" t="str">
        <f>'Приложение 2'!C84</f>
        <v>0113</v>
      </c>
      <c r="C78" s="72" t="str">
        <f>'Приложение 2'!D84</f>
        <v>51</v>
      </c>
      <c r="D78" s="72">
        <f>'Приложение 2'!E84</f>
        <v>0</v>
      </c>
      <c r="E78" s="72"/>
      <c r="F78" s="58">
        <f>'Приложение 2'!G84</f>
        <v>50859.64523</v>
      </c>
      <c r="G78" s="58">
        <f>'Приложение 2'!H84</f>
        <v>49913.9566</v>
      </c>
      <c r="H78" s="64">
        <f t="shared" si="1"/>
        <v>98.1405913751003</v>
      </c>
    </row>
    <row r="79" spans="1:8" ht="24" outlineLevel="2">
      <c r="A79" s="45" t="str">
        <f>'Приложение 2'!A85</f>
        <v>Предоставление субсидий бюджетным, автономным учреждениям и иным некоммерческим организациям</v>
      </c>
      <c r="B79" s="72" t="str">
        <f>'Приложение 2'!C85</f>
        <v>0113</v>
      </c>
      <c r="C79" s="72" t="str">
        <f>'Приложение 2'!D85</f>
        <v>51</v>
      </c>
      <c r="D79" s="72">
        <f>'Приложение 2'!E85</f>
        <v>0</v>
      </c>
      <c r="E79" s="72">
        <f>'Приложение 2'!F85</f>
        <v>600</v>
      </c>
      <c r="F79" s="58">
        <f>'Приложение 2'!G85</f>
        <v>50590.95835</v>
      </c>
      <c r="G79" s="58">
        <f>'Приложение 2'!H85</f>
        <v>49645.26972</v>
      </c>
      <c r="H79" s="64">
        <f t="shared" si="1"/>
        <v>98.13071611836742</v>
      </c>
    </row>
    <row r="80" spans="1:8" ht="51.75" customHeight="1" outlineLevel="2">
      <c r="A80" s="45" t="str">
        <f>'Приложение 2'!A86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80" s="72" t="str">
        <f>'Приложение 2'!C86</f>
        <v>0113</v>
      </c>
      <c r="C80" s="72" t="str">
        <f>'Приложение 2'!D86</f>
        <v>51</v>
      </c>
      <c r="D80" s="72">
        <f>'Приложение 2'!E86</f>
        <v>0</v>
      </c>
      <c r="E80" s="72">
        <f>'Приложение 2'!F86</f>
        <v>600</v>
      </c>
      <c r="F80" s="58">
        <f>'Приложение 2'!G86</f>
        <v>268.68688</v>
      </c>
      <c r="G80" s="58">
        <f>'Приложение 2'!H86</f>
        <v>268.68688</v>
      </c>
      <c r="H80" s="64">
        <f t="shared" si="1"/>
        <v>100</v>
      </c>
    </row>
    <row r="81" spans="1:8" ht="12.75" outlineLevel="2">
      <c r="A81" s="45" t="str">
        <f>'Приложение 2'!A87</f>
        <v>Государственная регистрация актов гражданского состояния</v>
      </c>
      <c r="B81" s="72" t="str">
        <f>'Приложение 2'!C87</f>
        <v>0113</v>
      </c>
      <c r="C81" s="72">
        <f>'Приложение 2'!D87</f>
        <v>0</v>
      </c>
      <c r="D81" s="72">
        <f>'Приложение 2'!E87</f>
        <v>0</v>
      </c>
      <c r="E81" s="72"/>
      <c r="F81" s="58">
        <f>'Приложение 2'!G87</f>
        <v>1178.4</v>
      </c>
      <c r="G81" s="58">
        <f>'Приложение 2'!H87</f>
        <v>1178.4</v>
      </c>
      <c r="H81" s="64">
        <f t="shared" si="1"/>
        <v>100</v>
      </c>
    </row>
    <row r="82" spans="1:8" ht="36" outlineLevel="2">
      <c r="A82" s="45" t="str">
        <f>'Приложение 2'!A88</f>
        <v>Непрограммные направления обеспечения деятельности органов местного самоуправления Алексеевского муниципального района</v>
      </c>
      <c r="B82" s="72" t="str">
        <f>'Приложение 2'!C88</f>
        <v>0113</v>
      </c>
      <c r="C82" s="72" t="str">
        <f>'Приложение 2'!D88</f>
        <v>90</v>
      </c>
      <c r="D82" s="72">
        <f>'Приложение 2'!E88</f>
        <v>0</v>
      </c>
      <c r="E82" s="72"/>
      <c r="F82" s="58">
        <f>'Приложение 2'!G88</f>
        <v>1178.4</v>
      </c>
      <c r="G82" s="58">
        <f>'Приложение 2'!H88</f>
        <v>1178.4</v>
      </c>
      <c r="H82" s="64">
        <f t="shared" si="1"/>
        <v>100</v>
      </c>
    </row>
    <row r="83" spans="1:8" ht="48" outlineLevel="2">
      <c r="A83" s="45" t="str">
        <f>'Приложение 2'!A89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3" s="72" t="str">
        <f>'Приложение 2'!C89</f>
        <v>0113</v>
      </c>
      <c r="C83" s="72" t="str">
        <f>'Приложение 2'!D89</f>
        <v>90</v>
      </c>
      <c r="D83" s="72" t="str">
        <f>'Приложение 2'!E89</f>
        <v>0</v>
      </c>
      <c r="E83" s="72">
        <f>'Приложение 2'!F89</f>
        <v>100</v>
      </c>
      <c r="F83" s="58">
        <f>'Приложение 2'!G89</f>
        <v>1068.4529599999998</v>
      </c>
      <c r="G83" s="58">
        <f>'Приложение 2'!H89</f>
        <v>1068.4529599999998</v>
      </c>
      <c r="H83" s="64">
        <f t="shared" si="1"/>
        <v>100</v>
      </c>
    </row>
    <row r="84" spans="1:8" ht="24" outlineLevel="2">
      <c r="A84" s="45" t="str">
        <f>'Приложение 2'!A90</f>
        <v>Закупка товаров, работ и услуг для государственных (муниципальных) нужд</v>
      </c>
      <c r="B84" s="72" t="str">
        <f>'Приложение 2'!C90</f>
        <v>0113</v>
      </c>
      <c r="C84" s="72" t="str">
        <f>'Приложение 2'!D90</f>
        <v>90</v>
      </c>
      <c r="D84" s="72" t="str">
        <f>'Приложение 2'!E90</f>
        <v>0</v>
      </c>
      <c r="E84" s="72">
        <f>'Приложение 2'!F90</f>
        <v>200</v>
      </c>
      <c r="F84" s="58">
        <f>'Приложение 2'!G90</f>
        <v>109.94704000000024</v>
      </c>
      <c r="G84" s="58">
        <f>'Приложение 2'!H90</f>
        <v>109.94704000000024</v>
      </c>
      <c r="H84" s="64">
        <f t="shared" si="1"/>
        <v>100</v>
      </c>
    </row>
    <row r="85" spans="1:8" ht="26.25" customHeight="1" outlineLevel="2">
      <c r="A85" s="45" t="str">
        <f>'Приложение 2'!A91</f>
        <v>Оценка недвижимости, признание прав и регулирование отношений по муниципальной собственности</v>
      </c>
      <c r="B85" s="72" t="str">
        <f>'Приложение 2'!C91</f>
        <v>0113</v>
      </c>
      <c r="C85" s="72" t="str">
        <f>'Приложение 2'!D91</f>
        <v>99</v>
      </c>
      <c r="D85" s="72">
        <f>'Приложение 2'!E91</f>
        <v>0</v>
      </c>
      <c r="E85" s="72"/>
      <c r="F85" s="58">
        <f>'Приложение 2'!G91</f>
        <v>100</v>
      </c>
      <c r="G85" s="58">
        <f>'Приложение 2'!H91</f>
        <v>100</v>
      </c>
      <c r="H85" s="64">
        <f t="shared" si="1"/>
        <v>100</v>
      </c>
    </row>
    <row r="86" spans="1:8" ht="24.75" customHeight="1" outlineLevel="2">
      <c r="A86" s="45" t="str">
        <f>'Приложение 2'!A92</f>
        <v>Непрограммные расходы органов местного самоуправления Алексеевского муниципального района</v>
      </c>
      <c r="B86" s="72" t="str">
        <f>'Приложение 2'!C92</f>
        <v>0113</v>
      </c>
      <c r="C86" s="72" t="str">
        <f>'Приложение 2'!D92</f>
        <v>99</v>
      </c>
      <c r="D86" s="72" t="str">
        <f>'Приложение 2'!E92</f>
        <v>0</v>
      </c>
      <c r="E86" s="72"/>
      <c r="F86" s="58">
        <f>'Приложение 2'!G92</f>
        <v>100</v>
      </c>
      <c r="G86" s="58">
        <f>'Приложение 2'!H92</f>
        <v>100</v>
      </c>
      <c r="H86" s="64">
        <f t="shared" si="1"/>
        <v>100</v>
      </c>
    </row>
    <row r="87" spans="1:8" ht="24.75" customHeight="1" outlineLevel="2">
      <c r="A87" s="45" t="str">
        <f>'Приложение 2'!A93</f>
        <v>Закупка товаров, работ и услуг для государственных (муниципальных) нужд</v>
      </c>
      <c r="B87" s="72" t="str">
        <f>'Приложение 2'!C93</f>
        <v>0113</v>
      </c>
      <c r="C87" s="72" t="str">
        <f>'Приложение 2'!D93</f>
        <v>99</v>
      </c>
      <c r="D87" s="72" t="str">
        <f>'Приложение 2'!E93</f>
        <v>0</v>
      </c>
      <c r="E87" s="72">
        <f>'Приложение 2'!F93</f>
        <v>200</v>
      </c>
      <c r="F87" s="58">
        <f>'Приложение 2'!G93</f>
        <v>100</v>
      </c>
      <c r="G87" s="58">
        <f>'Приложение 2'!H93</f>
        <v>100</v>
      </c>
      <c r="H87" s="64">
        <f t="shared" si="1"/>
        <v>100</v>
      </c>
    </row>
    <row r="88" spans="1:8" ht="24" outlineLevel="5">
      <c r="A88" s="45" t="str">
        <f>'Приложение 2'!A94</f>
        <v>Реализация государственных функций, связанных с общегосударственным управлением</v>
      </c>
      <c r="B88" s="72" t="str">
        <f>'Приложение 2'!C94</f>
        <v>0113</v>
      </c>
      <c r="C88" s="72" t="str">
        <f>'Приложение 2'!D94</f>
        <v>99</v>
      </c>
      <c r="D88" s="72">
        <f>'Приложение 2'!E94</f>
        <v>0</v>
      </c>
      <c r="E88" s="72"/>
      <c r="F88" s="58">
        <f>'Приложение 2'!G94</f>
        <v>1919.94715</v>
      </c>
      <c r="G88" s="58">
        <f>'Приложение 2'!H94</f>
        <v>1919.94715</v>
      </c>
      <c r="H88" s="64">
        <f t="shared" si="1"/>
        <v>100</v>
      </c>
    </row>
    <row r="89" spans="1:8" ht="25.5" customHeight="1" outlineLevel="5">
      <c r="A89" s="45" t="str">
        <f>'Приложение 2'!A95</f>
        <v>Непрограммные расходы органов местного самоуправления Алексеевского муниципального района</v>
      </c>
      <c r="B89" s="72" t="str">
        <f>'Приложение 2'!C95</f>
        <v>0113</v>
      </c>
      <c r="C89" s="72" t="str">
        <f>'Приложение 2'!D95</f>
        <v>99</v>
      </c>
      <c r="D89" s="72" t="str">
        <f>'Приложение 2'!E95</f>
        <v>0</v>
      </c>
      <c r="E89" s="72"/>
      <c r="F89" s="58">
        <f>'Приложение 2'!G95</f>
        <v>1919.94715</v>
      </c>
      <c r="G89" s="58">
        <f>'Приложение 2'!H95</f>
        <v>1919.94715</v>
      </c>
      <c r="H89" s="64">
        <f t="shared" si="1"/>
        <v>100</v>
      </c>
    </row>
    <row r="90" spans="1:8" ht="25.5" customHeight="1" outlineLevel="5">
      <c r="A90" s="45" t="str">
        <f>'Приложение 2'!A96</f>
        <v>Закупка товаров, работ и услуг для государственных (муниципальных) нужд</v>
      </c>
      <c r="B90" s="72" t="str">
        <f>'Приложение 2'!C96</f>
        <v>0113</v>
      </c>
      <c r="C90" s="72" t="str">
        <f>'Приложение 2'!D96</f>
        <v>99</v>
      </c>
      <c r="D90" s="72">
        <f>'Приложение 2'!E96</f>
        <v>0</v>
      </c>
      <c r="E90" s="72"/>
      <c r="F90" s="58">
        <f>'Приложение 2'!G96</f>
        <v>378.8267700000001</v>
      </c>
      <c r="G90" s="58">
        <f>'Приложение 2'!H96</f>
        <v>378.8267700000001</v>
      </c>
      <c r="H90" s="64">
        <f t="shared" si="1"/>
        <v>100</v>
      </c>
    </row>
    <row r="91" spans="1:8" ht="12.75" outlineLevel="5">
      <c r="A91" s="45" t="str">
        <f>'Приложение 2'!A97</f>
        <v>Иные бюджетные ассигнования</v>
      </c>
      <c r="B91" s="72" t="str">
        <f>'Приложение 2'!C97</f>
        <v>0113</v>
      </c>
      <c r="C91" s="72" t="str">
        <f>'Приложение 2'!D97</f>
        <v>99</v>
      </c>
      <c r="D91" s="72">
        <f>'Приложение 2'!E97</f>
        <v>0</v>
      </c>
      <c r="E91" s="72">
        <f>'Приложение 2'!F97</f>
        <v>800</v>
      </c>
      <c r="F91" s="58">
        <f>'Приложение 2'!G97</f>
        <v>1541.1203799999998</v>
      </c>
      <c r="G91" s="58">
        <f>'Приложение 2'!H97</f>
        <v>1541.1203799999998</v>
      </c>
      <c r="H91" s="64">
        <f t="shared" si="1"/>
        <v>100</v>
      </c>
    </row>
    <row r="92" spans="1:8" ht="24" hidden="1" outlineLevel="5">
      <c r="A92" s="45" t="str">
        <f>'Приложение 2'!A98</f>
        <v>Осуществление полномочий по подготовке и проведению Всероссийской переписи населения 2020 года на 2021 год</v>
      </c>
      <c r="B92" s="72" t="str">
        <f>'Приложение 2'!C98</f>
        <v>0113</v>
      </c>
      <c r="C92" s="72" t="str">
        <f>'Приложение 2'!D98</f>
        <v>99</v>
      </c>
      <c r="D92" s="72">
        <f>'Приложение 2'!E98</f>
        <v>0</v>
      </c>
      <c r="E92" s="72"/>
      <c r="F92" s="58">
        <f>'Приложение 2'!G98</f>
        <v>0</v>
      </c>
      <c r="G92" s="58">
        <f>'Приложение 2'!H98</f>
        <v>0</v>
      </c>
      <c r="H92" s="64" t="e">
        <f t="shared" si="1"/>
        <v>#DIV/0!</v>
      </c>
    </row>
    <row r="93" spans="1:8" ht="24" hidden="1" outlineLevel="5">
      <c r="A93" s="45" t="str">
        <f>'Приложение 2'!A99</f>
        <v>Непрограммные расходы органов местного самоуправления Алексеевского муниципального района</v>
      </c>
      <c r="B93" s="72" t="str">
        <f>'Приложение 2'!C99</f>
        <v>0113</v>
      </c>
      <c r="C93" s="72" t="str">
        <f>'Приложение 2'!D99</f>
        <v>99</v>
      </c>
      <c r="D93" s="72" t="str">
        <f>'Приложение 2'!E99</f>
        <v>0</v>
      </c>
      <c r="E93" s="72"/>
      <c r="F93" s="58">
        <f>'Приложение 2'!G99</f>
        <v>0</v>
      </c>
      <c r="G93" s="58">
        <f>'Приложение 2'!H99</f>
        <v>0</v>
      </c>
      <c r="H93" s="64" t="e">
        <f t="shared" si="1"/>
        <v>#DIV/0!</v>
      </c>
    </row>
    <row r="94" spans="1:8" ht="24" hidden="1" outlineLevel="5">
      <c r="A94" s="45" t="str">
        <f>'Приложение 2'!A100</f>
        <v>Закупка товаров, работ и услуг для государственных (муниципальных) нужд</v>
      </c>
      <c r="B94" s="72" t="str">
        <f>'Приложение 2'!C100</f>
        <v>0113</v>
      </c>
      <c r="C94" s="72" t="str">
        <f>'Приложение 2'!D100</f>
        <v>99</v>
      </c>
      <c r="D94" s="72">
        <f>'Приложение 2'!E100</f>
        <v>0</v>
      </c>
      <c r="E94" s="72">
        <f>'Приложение 2'!F100</f>
        <v>200</v>
      </c>
      <c r="F94" s="58">
        <f>'Приложение 2'!G100</f>
        <v>0</v>
      </c>
      <c r="G94" s="58">
        <f>'Приложение 2'!H100</f>
        <v>0</v>
      </c>
      <c r="H94" s="64" t="e">
        <f t="shared" si="1"/>
        <v>#DIV/0!</v>
      </c>
    </row>
    <row r="95" spans="1:8" ht="12.75" outlineLevel="5">
      <c r="A95" s="45" t="str">
        <f>'Приложение 2'!A101</f>
        <v>Условно утвержденные расходы</v>
      </c>
      <c r="B95" s="72" t="str">
        <f>'Приложение 2'!C101</f>
        <v>0113</v>
      </c>
      <c r="C95" s="72" t="str">
        <f>'Приложение 2'!D101</f>
        <v>99</v>
      </c>
      <c r="D95" s="72">
        <f>'Приложение 2'!E101</f>
        <v>0</v>
      </c>
      <c r="E95" s="72" t="s">
        <v>141</v>
      </c>
      <c r="F95" s="58">
        <f>'Приложение 2'!G101</f>
        <v>0</v>
      </c>
      <c r="G95" s="58">
        <f>'Приложение 2'!H101</f>
        <v>0</v>
      </c>
      <c r="H95" s="64" t="e">
        <f t="shared" si="1"/>
        <v>#DIV/0!</v>
      </c>
    </row>
    <row r="96" spans="1:8" ht="12.75" outlineLevel="5">
      <c r="A96" s="45" t="str">
        <f>'Приложение 2'!A102</f>
        <v>Национальная оборона </v>
      </c>
      <c r="B96" s="72" t="str">
        <f>'Приложение 2'!C102</f>
        <v>0200</v>
      </c>
      <c r="C96" s="72"/>
      <c r="D96" s="72"/>
      <c r="E96" s="72"/>
      <c r="F96" s="58">
        <f>'Приложение 2'!G102</f>
        <v>1.4565000000000001</v>
      </c>
      <c r="G96" s="58">
        <f>'Приложение 2'!H102</f>
        <v>1.4565000000000001</v>
      </c>
      <c r="H96" s="64">
        <f t="shared" si="1"/>
        <v>100</v>
      </c>
    </row>
    <row r="97" spans="1:8" ht="12.75" outlineLevel="5">
      <c r="A97" s="45" t="str">
        <f>'Приложение 2'!A103</f>
        <v>Мобилизационная подготовка экономики</v>
      </c>
      <c r="B97" s="72" t="str">
        <f>'Приложение 2'!C103</f>
        <v>0204</v>
      </c>
      <c r="C97" s="72"/>
      <c r="D97" s="72"/>
      <c r="E97" s="72"/>
      <c r="F97" s="58">
        <f>'Приложение 2'!G103</f>
        <v>1.4565000000000001</v>
      </c>
      <c r="G97" s="58">
        <f>'Приложение 2'!H103</f>
        <v>1.4565000000000001</v>
      </c>
      <c r="H97" s="64">
        <f t="shared" si="1"/>
        <v>100</v>
      </c>
    </row>
    <row r="98" spans="1:8" ht="24" outlineLevel="2">
      <c r="A98" s="45" t="str">
        <f>'Приложение 2'!A104</f>
        <v>Мероприятия по обеспечению мобилизационной готовности экономики</v>
      </c>
      <c r="B98" s="72" t="str">
        <f>'Приложение 2'!C104</f>
        <v>0204</v>
      </c>
      <c r="C98" s="72"/>
      <c r="D98" s="72"/>
      <c r="E98" s="72"/>
      <c r="F98" s="58">
        <f>'Приложение 2'!G104</f>
        <v>1.4565000000000001</v>
      </c>
      <c r="G98" s="58">
        <f>'Приложение 2'!H104</f>
        <v>1.4565000000000001</v>
      </c>
      <c r="H98" s="64">
        <f t="shared" si="1"/>
        <v>100</v>
      </c>
    </row>
    <row r="99" spans="1:8" ht="24.75" customHeight="1" outlineLevel="5">
      <c r="A99" s="45" t="str">
        <f>'Приложение 2'!A105</f>
        <v>Непрограммные расходы органов местного самоуправления Алексеевского муниципального района</v>
      </c>
      <c r="B99" s="72" t="str">
        <f>'Приложение 2'!C105</f>
        <v>0204</v>
      </c>
      <c r="C99" s="72" t="str">
        <f>'Приложение 2'!D105</f>
        <v>99</v>
      </c>
      <c r="D99" s="72">
        <f>'Приложение 2'!E105</f>
        <v>0</v>
      </c>
      <c r="E99" s="72"/>
      <c r="F99" s="58">
        <f>'Приложение 2'!G105</f>
        <v>1.4565000000000001</v>
      </c>
      <c r="G99" s="58">
        <f>'Приложение 2'!H105</f>
        <v>1.4565000000000001</v>
      </c>
      <c r="H99" s="64">
        <f t="shared" si="1"/>
        <v>100</v>
      </c>
    </row>
    <row r="100" spans="1:8" ht="24.75" customHeight="1" outlineLevel="5">
      <c r="A100" s="45" t="str">
        <f>'Приложение 2'!A106</f>
        <v>Закупка товаров, работ и услуг для государственных (муниципальных) нужд</v>
      </c>
      <c r="B100" s="72" t="str">
        <f>'Приложение 2'!C106</f>
        <v>0204</v>
      </c>
      <c r="C100" s="72" t="str">
        <f>'Приложение 2'!D106</f>
        <v>99</v>
      </c>
      <c r="D100" s="72">
        <f>'Приложение 2'!E106</f>
        <v>0</v>
      </c>
      <c r="E100" s="72">
        <f>'Приложение 2'!F106</f>
        <v>200</v>
      </c>
      <c r="F100" s="58">
        <f>'Приложение 2'!G106</f>
        <v>1.4565000000000001</v>
      </c>
      <c r="G100" s="58">
        <f>'Приложение 2'!H106</f>
        <v>1.4565000000000001</v>
      </c>
      <c r="H100" s="64">
        <f t="shared" si="1"/>
        <v>100</v>
      </c>
    </row>
    <row r="101" spans="1:8" ht="24" outlineLevel="5">
      <c r="A101" s="45" t="str">
        <f>'Приложение 2'!A107</f>
        <v>Национальная безопасность и правоохранительная деятельность</v>
      </c>
      <c r="B101" s="72" t="str">
        <f>'Приложение 2'!C107</f>
        <v>0300</v>
      </c>
      <c r="C101" s="72"/>
      <c r="D101" s="72"/>
      <c r="E101" s="72"/>
      <c r="F101" s="58">
        <f>'Приложение 2'!G107</f>
        <v>0</v>
      </c>
      <c r="G101" s="58">
        <f>'Приложение 2'!H107</f>
        <v>0</v>
      </c>
      <c r="H101" s="64" t="e">
        <f t="shared" si="1"/>
        <v>#DIV/0!</v>
      </c>
    </row>
    <row r="102" spans="1:8" ht="12.75" outlineLevel="5">
      <c r="A102" s="45" t="str">
        <f>'Приложение 2'!A108</f>
        <v>Гражданская оборона</v>
      </c>
      <c r="B102" s="72" t="str">
        <f>'Приложение 2'!C108</f>
        <v>0309</v>
      </c>
      <c r="C102" s="72"/>
      <c r="D102" s="72"/>
      <c r="E102" s="72"/>
      <c r="F102" s="58">
        <f>'Приложение 2'!G108</f>
        <v>0</v>
      </c>
      <c r="G102" s="58">
        <f>'Приложение 2'!H108</f>
        <v>0</v>
      </c>
      <c r="H102" s="64" t="e">
        <f t="shared" si="1"/>
        <v>#DIV/0!</v>
      </c>
    </row>
    <row r="103" spans="1:8" ht="24" outlineLevel="5">
      <c r="A103" s="45" t="str">
        <f>'Приложение 2'!A109</f>
        <v>Непрограммные расходы органов местного самоуправления Алексеевского муниципального района</v>
      </c>
      <c r="B103" s="72" t="str">
        <f>'Приложение 2'!C109</f>
        <v>0309</v>
      </c>
      <c r="C103" s="72" t="str">
        <f>'Приложение 2'!D109</f>
        <v>99</v>
      </c>
      <c r="D103" s="72">
        <f>'Приложение 2'!E109</f>
        <v>0</v>
      </c>
      <c r="E103" s="72"/>
      <c r="F103" s="58">
        <f>'Приложение 2'!G109</f>
        <v>0</v>
      </c>
      <c r="G103" s="58">
        <f>'Приложение 2'!H109</f>
        <v>0</v>
      </c>
      <c r="H103" s="64" t="e">
        <f t="shared" si="1"/>
        <v>#DIV/0!</v>
      </c>
    </row>
    <row r="104" spans="1:8" ht="24" outlineLevel="5">
      <c r="A104" s="45" t="str">
        <f>'Приложение 2'!A110</f>
        <v>Закупка товаров, работ и услуг для государственных (муниципальных) нужд</v>
      </c>
      <c r="B104" s="72" t="str">
        <f>'Приложение 2'!C110</f>
        <v>0309</v>
      </c>
      <c r="C104" s="72" t="str">
        <f>'Приложение 2'!D110</f>
        <v>99</v>
      </c>
      <c r="D104" s="72">
        <f>'Приложение 2'!E110</f>
        <v>0</v>
      </c>
      <c r="E104" s="72">
        <f>'Приложение 2'!F110</f>
        <v>200</v>
      </c>
      <c r="F104" s="58">
        <f>'Приложение 2'!G110</f>
        <v>0</v>
      </c>
      <c r="G104" s="58">
        <f>'Приложение 2'!H110</f>
        <v>0</v>
      </c>
      <c r="H104" s="64" t="e">
        <f t="shared" si="1"/>
        <v>#DIV/0!</v>
      </c>
    </row>
    <row r="105" spans="1:8" ht="31.5" customHeight="1" outlineLevel="2">
      <c r="A105" s="45" t="str">
        <f>'Приложение 2'!A111</f>
        <v>Защита населения и территории от чрезвычайных ситуаций природного и техногенного характера, пожарная безопасность</v>
      </c>
      <c r="B105" s="72" t="str">
        <f>'Приложение 2'!C111</f>
        <v>0310</v>
      </c>
      <c r="C105" s="72"/>
      <c r="D105" s="72"/>
      <c r="E105" s="72"/>
      <c r="F105" s="58">
        <f>'Приложение 2'!G111</f>
        <v>0</v>
      </c>
      <c r="G105" s="58">
        <f>'Приложение 2'!H111</f>
        <v>0</v>
      </c>
      <c r="H105" s="64" t="e">
        <f t="shared" si="1"/>
        <v>#DIV/0!</v>
      </c>
    </row>
    <row r="106" spans="1:8" ht="28.5" customHeight="1" outlineLevel="5">
      <c r="A106" s="45" t="str">
        <f>'Приложение 2'!A112</f>
        <v>Непрограммные расходы органов местного самоуправления Алексеевского муниципального района</v>
      </c>
      <c r="B106" s="72" t="str">
        <f>'Приложение 2'!C112</f>
        <v>0310</v>
      </c>
      <c r="C106" s="72" t="str">
        <f>'Приложение 2'!D112</f>
        <v>99</v>
      </c>
      <c r="D106" s="72">
        <f>'Приложение 2'!E112</f>
        <v>0</v>
      </c>
      <c r="E106" s="72"/>
      <c r="F106" s="58">
        <f>'Приложение 2'!G112</f>
        <v>0</v>
      </c>
      <c r="G106" s="58">
        <f>'Приложение 2'!H112</f>
        <v>0</v>
      </c>
      <c r="H106" s="64" t="e">
        <f t="shared" si="1"/>
        <v>#DIV/0!</v>
      </c>
    </row>
    <row r="107" spans="1:8" ht="27" customHeight="1" outlineLevel="5">
      <c r="A107" s="45" t="str">
        <f>'Приложение 2'!A113</f>
        <v>Закупка товаров, работ и услуг для государственных (муниципальных) нужд</v>
      </c>
      <c r="B107" s="72" t="str">
        <f>'Приложение 2'!C113</f>
        <v>0310</v>
      </c>
      <c r="C107" s="72" t="str">
        <f>'Приложение 2'!D113</f>
        <v>99</v>
      </c>
      <c r="D107" s="72">
        <f>'Приложение 2'!E113</f>
        <v>0</v>
      </c>
      <c r="E107" s="72">
        <f>'Приложение 2'!F113</f>
        <v>200</v>
      </c>
      <c r="F107" s="58">
        <f>'Приложение 2'!G113</f>
        <v>0</v>
      </c>
      <c r="G107" s="58">
        <f>'Приложение 2'!H113</f>
        <v>0</v>
      </c>
      <c r="H107" s="64" t="e">
        <f t="shared" si="1"/>
        <v>#DIV/0!</v>
      </c>
    </row>
    <row r="108" spans="1:8" ht="18" customHeight="1" hidden="1" outlineLevel="3">
      <c r="A108" s="45" t="e">
        <f>'Приложение 2'!#REF!</f>
        <v>#REF!</v>
      </c>
      <c r="B108" s="72" t="e">
        <f>'Приложение 2'!#REF!</f>
        <v>#REF!</v>
      </c>
      <c r="C108" s="72"/>
      <c r="D108" s="72"/>
      <c r="E108" s="72"/>
      <c r="F108" s="58" t="e">
        <f>'Приложение 2'!#REF!</f>
        <v>#REF!</v>
      </c>
      <c r="G108" s="58" t="e">
        <f>'Приложение 2'!#REF!</f>
        <v>#REF!</v>
      </c>
      <c r="H108" s="64" t="e">
        <f t="shared" si="1"/>
        <v>#REF!</v>
      </c>
    </row>
    <row r="109" spans="1:8" ht="27" customHeight="1" hidden="1" outlineLevel="3">
      <c r="A109" s="45" t="e">
        <f>'Приложение 2'!#REF!</f>
        <v>#REF!</v>
      </c>
      <c r="B109" s="72" t="e">
        <f>'Приложение 2'!#REF!</f>
        <v>#REF!</v>
      </c>
      <c r="C109" s="72" t="e">
        <f>'Приложение 2'!#REF!</f>
        <v>#REF!</v>
      </c>
      <c r="D109" s="72" t="e">
        <f>'Приложение 2'!#REF!</f>
        <v>#REF!</v>
      </c>
      <c r="E109" s="72"/>
      <c r="F109" s="58" t="e">
        <f>'Приложение 2'!#REF!</f>
        <v>#REF!</v>
      </c>
      <c r="G109" s="58" t="e">
        <f>'Приложение 2'!#REF!</f>
        <v>#REF!</v>
      </c>
      <c r="H109" s="64" t="e">
        <f t="shared" si="1"/>
        <v>#REF!</v>
      </c>
    </row>
    <row r="110" spans="1:8" ht="27" customHeight="1" hidden="1" outlineLevel="3">
      <c r="A110" s="45" t="e">
        <f>'Приложение 2'!#REF!</f>
        <v>#REF!</v>
      </c>
      <c r="B110" s="72" t="e">
        <f>'Приложение 2'!#REF!</f>
        <v>#REF!</v>
      </c>
      <c r="C110" s="72" t="e">
        <f>'Приложение 2'!#REF!</f>
        <v>#REF!</v>
      </c>
      <c r="D110" s="72" t="e">
        <f>'Приложение 2'!#REF!</f>
        <v>#REF!</v>
      </c>
      <c r="E110" s="72" t="e">
        <f>'Приложение 2'!#REF!</f>
        <v>#REF!</v>
      </c>
      <c r="F110" s="58" t="e">
        <f>'Приложение 2'!#REF!</f>
        <v>#REF!</v>
      </c>
      <c r="G110" s="58" t="e">
        <f>'Приложение 2'!#REF!</f>
        <v>#REF!</v>
      </c>
      <c r="H110" s="64" t="e">
        <f t="shared" si="1"/>
        <v>#REF!</v>
      </c>
    </row>
    <row r="111" spans="1:8" ht="11.25" customHeight="1" outlineLevel="3">
      <c r="A111" s="45" t="str">
        <f>'Приложение 2'!A114</f>
        <v>Национальная экономика</v>
      </c>
      <c r="B111" s="72" t="str">
        <f>'Приложение 2'!C114</f>
        <v>0400</v>
      </c>
      <c r="C111" s="72"/>
      <c r="D111" s="72"/>
      <c r="E111" s="72"/>
      <c r="F111" s="58">
        <f>'Приложение 2'!G114</f>
        <v>22533.46592</v>
      </c>
      <c r="G111" s="58">
        <f>'Приложение 2'!H114</f>
        <v>19558.01206</v>
      </c>
      <c r="H111" s="64">
        <f t="shared" si="1"/>
        <v>86.7954008026831</v>
      </c>
    </row>
    <row r="112" spans="1:8" ht="12.75" outlineLevel="3">
      <c r="A112" s="45" t="str">
        <f>'Приложение 2'!A115</f>
        <v>Сельское хозяйство и рыболовство</v>
      </c>
      <c r="B112" s="72" t="str">
        <f>'Приложение 2'!C115</f>
        <v>0405</v>
      </c>
      <c r="C112" s="72"/>
      <c r="D112" s="72"/>
      <c r="E112" s="72"/>
      <c r="F112" s="58">
        <f>'Приложение 2'!G115</f>
        <v>143.5</v>
      </c>
      <c r="G112" s="58">
        <f>'Приложение 2'!H115</f>
        <v>143.5</v>
      </c>
      <c r="H112" s="64">
        <f t="shared" si="1"/>
        <v>100</v>
      </c>
    </row>
    <row r="113" spans="1:8" ht="48" outlineLevel="3">
      <c r="A113" s="45" t="str">
        <f>'Приложение 2'!A116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3" s="72" t="str">
        <f>'Приложение 2'!C116</f>
        <v>0405</v>
      </c>
      <c r="C113" s="72" t="str">
        <f>'Приложение 2'!D116</f>
        <v>99</v>
      </c>
      <c r="D113" s="72">
        <f>'Приложение 2'!E116</f>
        <v>0</v>
      </c>
      <c r="E113" s="72"/>
      <c r="F113" s="58">
        <f>'Приложение 2'!G116</f>
        <v>143.5</v>
      </c>
      <c r="G113" s="58">
        <f>'Приложение 2'!H116</f>
        <v>143.5</v>
      </c>
      <c r="H113" s="64">
        <f t="shared" si="1"/>
        <v>100</v>
      </c>
    </row>
    <row r="114" spans="1:8" ht="24" outlineLevel="3">
      <c r="A114" s="45" t="str">
        <f>'Приложение 2'!A117</f>
        <v>Непрограммные расходы органов местного самоуправления Алексеевского муниципального района</v>
      </c>
      <c r="B114" s="72" t="str">
        <f>'Приложение 2'!C117</f>
        <v>0405</v>
      </c>
      <c r="C114" s="72" t="str">
        <f>'Приложение 2'!D117</f>
        <v>99</v>
      </c>
      <c r="D114" s="72">
        <f>'Приложение 2'!E117</f>
        <v>0</v>
      </c>
      <c r="E114" s="72"/>
      <c r="F114" s="58">
        <f>'Приложение 2'!G117</f>
        <v>143.5</v>
      </c>
      <c r="G114" s="58">
        <f>'Приложение 2'!H117</f>
        <v>143.5</v>
      </c>
      <c r="H114" s="64">
        <f t="shared" si="1"/>
        <v>100</v>
      </c>
    </row>
    <row r="115" spans="1:8" ht="24" outlineLevel="3">
      <c r="A115" s="45" t="str">
        <f>'Приложение 2'!A118</f>
        <v>Закупка товаров, работ и услуг для государственных (муниципальных) нужд</v>
      </c>
      <c r="B115" s="72" t="str">
        <f>'Приложение 2'!C118</f>
        <v>0405</v>
      </c>
      <c r="C115" s="72" t="str">
        <f>'Приложение 2'!D118</f>
        <v>99</v>
      </c>
      <c r="D115" s="72">
        <f>'Приложение 2'!E118</f>
        <v>0</v>
      </c>
      <c r="E115" s="72">
        <f>'Приложение 2'!F118</f>
        <v>200</v>
      </c>
      <c r="F115" s="58">
        <f>'Приложение 2'!G118</f>
        <v>143.5</v>
      </c>
      <c r="G115" s="58">
        <f>'Приложение 2'!H118</f>
        <v>143.5</v>
      </c>
      <c r="H115" s="64">
        <f t="shared" si="1"/>
        <v>100</v>
      </c>
    </row>
    <row r="116" spans="1:8" ht="12.75" outlineLevel="3">
      <c r="A116" s="45" t="str">
        <f>'Приложение 2'!A119</f>
        <v>Дорожное хозяйство (дорожные фонды)</v>
      </c>
      <c r="B116" s="72" t="str">
        <f>'Приложение 2'!C119</f>
        <v>0409</v>
      </c>
      <c r="C116" s="72"/>
      <c r="D116" s="72"/>
      <c r="E116" s="72"/>
      <c r="F116" s="58">
        <f>'Приложение 2'!G119</f>
        <v>21148.52972</v>
      </c>
      <c r="G116" s="58">
        <f>'Приложение 2'!H119</f>
        <v>18235.57586</v>
      </c>
      <c r="H116" s="64">
        <f t="shared" si="1"/>
        <v>86.22621100111164</v>
      </c>
    </row>
    <row r="117" spans="1:8" ht="48" outlineLevel="3">
      <c r="A117" s="45" t="str">
        <f>'Приложение 2'!A120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7" s="72" t="str">
        <f>'Приложение 2'!C120</f>
        <v>0409</v>
      </c>
      <c r="C117" s="72" t="str">
        <f>'Приложение 2'!D120</f>
        <v>18</v>
      </c>
      <c r="D117" s="72">
        <f>'Приложение 2'!E120</f>
        <v>0</v>
      </c>
      <c r="E117" s="72"/>
      <c r="F117" s="58">
        <f>'Приложение 2'!G120</f>
        <v>21148.52972</v>
      </c>
      <c r="G117" s="58">
        <f>'Приложение 2'!H120</f>
        <v>18235.57586</v>
      </c>
      <c r="H117" s="64">
        <f t="shared" si="1"/>
        <v>86.22621100111164</v>
      </c>
    </row>
    <row r="118" spans="1:8" ht="27" customHeight="1" outlineLevel="1">
      <c r="A118" s="45" t="str">
        <f>'Приложение 2'!A121</f>
        <v>Закупка товаров, работ и услуг для государственных (муниципальных) нужд</v>
      </c>
      <c r="B118" s="72" t="str">
        <f>'Приложение 2'!C121</f>
        <v>0409</v>
      </c>
      <c r="C118" s="72" t="str">
        <f>'Приложение 2'!D121</f>
        <v>18</v>
      </c>
      <c r="D118" s="72">
        <f>'Приложение 2'!E121</f>
        <v>0</v>
      </c>
      <c r="E118" s="72">
        <f>'Приложение 2'!F121</f>
        <v>200</v>
      </c>
      <c r="F118" s="58">
        <f>'Приложение 2'!G121</f>
        <v>2348.4186099999997</v>
      </c>
      <c r="G118" s="58">
        <f>'Приложение 2'!H121</f>
        <v>0</v>
      </c>
      <c r="H118" s="64">
        <f t="shared" si="1"/>
        <v>0</v>
      </c>
    </row>
    <row r="119" spans="1:8" ht="23.25" customHeight="1" outlineLevel="1">
      <c r="A119" s="45" t="str">
        <f>'Приложение 2'!A122</f>
        <v>Субсидия на реализацию мероприятий в сфере дорожной деятельности </v>
      </c>
      <c r="B119" s="72" t="str">
        <f>'Приложение 2'!C122</f>
        <v>0409</v>
      </c>
      <c r="C119" s="72" t="str">
        <f>'Приложение 2'!D122</f>
        <v>18</v>
      </c>
      <c r="D119" s="72">
        <f>'Приложение 2'!E122</f>
        <v>0</v>
      </c>
      <c r="E119" s="72">
        <f>'Приложение 2'!F122</f>
        <v>200</v>
      </c>
      <c r="F119" s="58">
        <f>'Приложение 2'!G122</f>
        <v>11000</v>
      </c>
      <c r="G119" s="58">
        <f>'Приложение 2'!H122</f>
        <v>10445.09766</v>
      </c>
      <c r="H119" s="64">
        <f t="shared" si="1"/>
        <v>94.95543327272726</v>
      </c>
    </row>
    <row r="120" spans="1:8" ht="36" outlineLevel="1">
      <c r="A120" s="45" t="str">
        <f>'Приложение 2'!A123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20" s="72" t="str">
        <f>'Приложение 2'!C123</f>
        <v>0409</v>
      </c>
      <c r="C120" s="72" t="str">
        <f>'Приложение 2'!D123</f>
        <v>18</v>
      </c>
      <c r="D120" s="72">
        <f>'Приложение 2'!E123</f>
        <v>0</v>
      </c>
      <c r="E120" s="72">
        <f>'Приложение 2'!F123</f>
        <v>200</v>
      </c>
      <c r="F120" s="58">
        <f>'Приложение 2'!G123</f>
        <v>111.11111</v>
      </c>
      <c r="G120" s="58">
        <f>'Приложение 2'!H123</f>
        <v>105.50604</v>
      </c>
      <c r="H120" s="64">
        <f t="shared" si="1"/>
        <v>94.95543694955437</v>
      </c>
    </row>
    <row r="121" spans="1:8" ht="24.75" customHeight="1" outlineLevel="1">
      <c r="A121" s="45" t="str">
        <f>'Приложение 2'!A124</f>
        <v>Межбюджетные трансферты за счет средств субсидии на реализацию мероприятий в сфере дорожной деятельности</v>
      </c>
      <c r="B121" s="72" t="str">
        <f>'Приложение 2'!C124</f>
        <v>0409</v>
      </c>
      <c r="C121" s="72" t="str">
        <f>'Приложение 2'!D124</f>
        <v>18</v>
      </c>
      <c r="D121" s="72">
        <f>'Приложение 2'!E124</f>
        <v>0</v>
      </c>
      <c r="E121" s="72">
        <f>'Приложение 2'!F124</f>
        <v>500</v>
      </c>
      <c r="F121" s="58">
        <f>'Приложение 2'!G124</f>
        <v>7688.999999999999</v>
      </c>
      <c r="G121" s="58">
        <f>'Приложение 2'!H124</f>
        <v>7684.97216</v>
      </c>
      <c r="H121" s="64">
        <f t="shared" si="1"/>
        <v>99.94761555468853</v>
      </c>
    </row>
    <row r="122" spans="1:8" ht="24" hidden="1" outlineLevel="1">
      <c r="A122" s="45" t="str">
        <f>'Приложение 2'!A125</f>
        <v>Муниципальная программа "Комплексное развитие сельских территорий"</v>
      </c>
      <c r="B122" s="72" t="str">
        <f>'Приложение 2'!C125</f>
        <v>0409</v>
      </c>
      <c r="C122" s="72" t="str">
        <f>'Приложение 2'!D125</f>
        <v>03</v>
      </c>
      <c r="D122" s="72">
        <f>'Приложение 2'!E125</f>
        <v>0</v>
      </c>
      <c r="E122" s="72"/>
      <c r="F122" s="58">
        <f>'Приложение 2'!G125</f>
        <v>0</v>
      </c>
      <c r="G122" s="58">
        <f>'Приложение 2'!H125</f>
        <v>0</v>
      </c>
      <c r="H122" s="64" t="e">
        <f t="shared" si="1"/>
        <v>#DIV/0!</v>
      </c>
    </row>
    <row r="123" spans="1:8" ht="24" hidden="1" outlineLevel="1">
      <c r="A123" s="45" t="str">
        <f>'Приложение 2'!A126</f>
        <v>Предоставление субсидий бюджетным, автономным учреждениям и иным некоммерческим организациям</v>
      </c>
      <c r="B123" s="72" t="str">
        <f>'Приложение 2'!C126</f>
        <v>0409</v>
      </c>
      <c r="C123" s="72" t="str">
        <f>'Приложение 2'!D126</f>
        <v>03</v>
      </c>
      <c r="D123" s="72">
        <f>'Приложение 2'!E126</f>
        <v>0</v>
      </c>
      <c r="E123" s="72">
        <f>'Приложение 2'!F126</f>
        <v>600</v>
      </c>
      <c r="F123" s="58">
        <f>'Приложение 2'!G126</f>
        <v>0</v>
      </c>
      <c r="G123" s="58">
        <f>'Приложение 2'!H126</f>
        <v>0</v>
      </c>
      <c r="H123" s="64" t="e">
        <f t="shared" si="1"/>
        <v>#DIV/0!</v>
      </c>
    </row>
    <row r="124" spans="1:8" ht="16.5" customHeight="1" outlineLevel="2">
      <c r="A124" s="45" t="str">
        <f>'Приложение 2'!A127</f>
        <v>Другие вопросы в области национальной экономики</v>
      </c>
      <c r="B124" s="72" t="str">
        <f>'Приложение 2'!C127</f>
        <v>0412</v>
      </c>
      <c r="C124" s="72"/>
      <c r="D124" s="72"/>
      <c r="E124" s="72"/>
      <c r="F124" s="58">
        <f>'Приложение 2'!G127</f>
        <v>1241.4362</v>
      </c>
      <c r="G124" s="58">
        <f>'Приложение 2'!H127</f>
        <v>1178.9362</v>
      </c>
      <c r="H124" s="64">
        <f t="shared" si="1"/>
        <v>94.96550849733558</v>
      </c>
    </row>
    <row r="125" spans="1:8" ht="35.25" customHeight="1" outlineLevel="2">
      <c r="A125" s="45" t="str">
        <f>'Приложение 2'!A128</f>
        <v>Муниципальная программа "Развитие и поддержка малого предпринимательства Алексеевского муниципального района на 2019-2023 годы "</v>
      </c>
      <c r="B125" s="72" t="str">
        <f>'Приложение 2'!C128</f>
        <v>0412</v>
      </c>
      <c r="C125" s="72" t="str">
        <f>'Приложение 2'!D128</f>
        <v>04</v>
      </c>
      <c r="D125" s="72">
        <f>'Приложение 2'!E128</f>
        <v>0</v>
      </c>
      <c r="E125" s="72"/>
      <c r="F125" s="58">
        <f>'Приложение 2'!G128</f>
        <v>50</v>
      </c>
      <c r="G125" s="58">
        <f>'Приложение 2'!H128</f>
        <v>50</v>
      </c>
      <c r="H125" s="64">
        <f t="shared" si="1"/>
        <v>100</v>
      </c>
    </row>
    <row r="126" spans="1:8" ht="108" customHeight="1" hidden="1" outlineLevel="2">
      <c r="A126" s="45" t="str">
        <f>'Приложение 2'!A129</f>
        <v>Закупка товаров, работ и услуг для государственных (муниципальных) нужд</v>
      </c>
      <c r="B126" s="72" t="str">
        <f>'Приложение 2'!C129</f>
        <v>0412</v>
      </c>
      <c r="C126" s="72" t="str">
        <f>'Приложение 2'!D129</f>
        <v>04</v>
      </c>
      <c r="D126" s="72">
        <f>'Приложение 2'!E129</f>
        <v>0</v>
      </c>
      <c r="E126" s="72">
        <f>'Приложение 2'!F129</f>
        <v>200</v>
      </c>
      <c r="F126" s="58">
        <f>'Приложение 2'!G129</f>
        <v>0</v>
      </c>
      <c r="G126" s="58">
        <f>'Приложение 2'!H129</f>
        <v>0</v>
      </c>
      <c r="H126" s="64" t="e">
        <f t="shared" si="1"/>
        <v>#DIV/0!</v>
      </c>
    </row>
    <row r="127" spans="1:8" ht="165" customHeight="1" hidden="1" outlineLevel="2">
      <c r="A127" s="45" t="str">
        <f>'Приложение 2'!A130</f>
        <v>Социальное обеспечение и иные выплаты населению</v>
      </c>
      <c r="B127" s="72" t="str">
        <f>'Приложение 2'!C130</f>
        <v>0412</v>
      </c>
      <c r="C127" s="72" t="str">
        <f>'Приложение 2'!D130</f>
        <v>04</v>
      </c>
      <c r="D127" s="72">
        <f>'Приложение 2'!E130</f>
        <v>0</v>
      </c>
      <c r="E127" s="72">
        <f>'Приложение 2'!F130</f>
        <v>300</v>
      </c>
      <c r="F127" s="58">
        <f>'Приложение 2'!G130</f>
        <v>0</v>
      </c>
      <c r="G127" s="58">
        <f>'Приложение 2'!H130</f>
        <v>0</v>
      </c>
      <c r="H127" s="64" t="e">
        <f t="shared" si="1"/>
        <v>#DIV/0!</v>
      </c>
    </row>
    <row r="128" spans="1:8" ht="12.75" outlineLevel="2">
      <c r="A128" s="45" t="str">
        <f>'Приложение 2'!A131</f>
        <v>Иные бюджетные ассигнования</v>
      </c>
      <c r="B128" s="72" t="str">
        <f>'Приложение 2'!C131</f>
        <v>0412</v>
      </c>
      <c r="C128" s="72" t="str">
        <f>'Приложение 2'!D131</f>
        <v>04</v>
      </c>
      <c r="D128" s="72">
        <f>'Приложение 2'!E131</f>
        <v>0</v>
      </c>
      <c r="E128" s="72">
        <f>'Приложение 2'!F131</f>
        <v>800</v>
      </c>
      <c r="F128" s="58">
        <f>'Приложение 2'!G131</f>
        <v>50</v>
      </c>
      <c r="G128" s="58">
        <f>'Приложение 2'!H131</f>
        <v>50</v>
      </c>
      <c r="H128" s="64">
        <f t="shared" si="1"/>
        <v>100</v>
      </c>
    </row>
    <row r="129" spans="1:8" ht="39" customHeight="1" outlineLevel="2">
      <c r="A129" s="45" t="str">
        <f>'Приложение 2'!A132</f>
        <v>Муниципальная программа "Градостроительная политика на территории Алексеевского муниципального района на 2022–2024 годы"</v>
      </c>
      <c r="B129" s="72" t="str">
        <f>'Приложение 2'!C132</f>
        <v>0412</v>
      </c>
      <c r="C129" s="72" t="str">
        <f>'Приложение 2'!D132</f>
        <v>09</v>
      </c>
      <c r="D129" s="72">
        <f>'Приложение 2'!E132</f>
        <v>0</v>
      </c>
      <c r="E129" s="72"/>
      <c r="F129" s="58">
        <f>'Приложение 2'!G132</f>
        <v>1191.4362</v>
      </c>
      <c r="G129" s="58">
        <f>'Приложение 2'!H132</f>
        <v>1128.9362</v>
      </c>
      <c r="H129" s="64">
        <f t="shared" si="1"/>
        <v>94.75423023070812</v>
      </c>
    </row>
    <row r="130" spans="1:8" ht="24.75" customHeight="1" outlineLevel="2">
      <c r="A130" s="45" t="str">
        <f>'Приложение 2'!A133</f>
        <v>Закупка товаров, работ и услуг для государственных (муниципальных) нужд</v>
      </c>
      <c r="B130" s="72" t="str">
        <f>'Приложение 2'!C133</f>
        <v>0412</v>
      </c>
      <c r="C130" s="72" t="str">
        <f>'Приложение 2'!D133</f>
        <v>09</v>
      </c>
      <c r="D130" s="72">
        <f>'Приложение 2'!E133</f>
        <v>0</v>
      </c>
      <c r="E130" s="72">
        <f>'Приложение 2'!F133</f>
        <v>200</v>
      </c>
      <c r="F130" s="58">
        <f>'Приложение 2'!G133</f>
        <v>371.83799999999997</v>
      </c>
      <c r="G130" s="58">
        <f>'Приложение 2'!H133</f>
        <v>309.338</v>
      </c>
      <c r="H130" s="64">
        <f t="shared" si="1"/>
        <v>83.19160494624003</v>
      </c>
    </row>
    <row r="131" spans="1:8" ht="12.75" outlineLevel="2">
      <c r="A131" s="45" t="str">
        <f>'Приложение 2'!A134</f>
        <v>Межбюджетные трансферты</v>
      </c>
      <c r="B131" s="72" t="str">
        <f>'Приложение 2'!C134</f>
        <v>0412</v>
      </c>
      <c r="C131" s="72" t="str">
        <f>'Приложение 2'!D134</f>
        <v>09</v>
      </c>
      <c r="D131" s="72">
        <f>'Приложение 2'!E134</f>
        <v>0</v>
      </c>
      <c r="E131" s="72">
        <f>'Приложение 2'!F134</f>
        <v>500</v>
      </c>
      <c r="F131" s="58">
        <f>'Приложение 2'!G134</f>
        <v>220</v>
      </c>
      <c r="G131" s="58">
        <f>'Приложение 2'!H134</f>
        <v>220</v>
      </c>
      <c r="H131" s="64">
        <f t="shared" si="1"/>
        <v>100</v>
      </c>
    </row>
    <row r="132" spans="1:8" ht="16.5" customHeight="1" outlineLevel="3">
      <c r="A132" s="45" t="str">
        <f>'Приложение 2'!A135</f>
        <v>Проведение  кадастровых работ в отношении земельных участков</v>
      </c>
      <c r="B132" s="72" t="str">
        <f>'Приложение 2'!C135</f>
        <v>0412</v>
      </c>
      <c r="C132" s="72" t="str">
        <f>'Приложение 2'!D135</f>
        <v>09</v>
      </c>
      <c r="D132" s="72">
        <f>'Приложение 2'!E135</f>
        <v>0</v>
      </c>
      <c r="E132" s="72"/>
      <c r="F132" s="58">
        <f>'Приложение 2'!G135</f>
        <v>599.5982</v>
      </c>
      <c r="G132" s="58">
        <f>'Приложение 2'!H135</f>
        <v>599.5982</v>
      </c>
      <c r="H132" s="64">
        <f t="shared" si="1"/>
        <v>100</v>
      </c>
    </row>
    <row r="133" spans="1:8" ht="34.5" customHeight="1" outlineLevel="3">
      <c r="A133" s="45" t="str">
        <f>'Приложение 2'!A136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комплексных кадастровых работ)</v>
      </c>
      <c r="B133" s="72" t="str">
        <f>'Приложение 2'!C136</f>
        <v>0412</v>
      </c>
      <c r="C133" s="72" t="str">
        <f>'Приложение 2'!D136</f>
        <v>09</v>
      </c>
      <c r="D133" s="72">
        <f>'Приложение 2'!E136</f>
        <v>0</v>
      </c>
      <c r="E133" s="72">
        <f>'Приложение 2'!F136</f>
        <v>200</v>
      </c>
      <c r="F133" s="58">
        <f>'Приложение 2'!G136</f>
        <v>539.63838</v>
      </c>
      <c r="G133" s="58">
        <f>'Приложение 2'!H136</f>
        <v>539.63838</v>
      </c>
      <c r="H133" s="64">
        <f t="shared" si="1"/>
        <v>100</v>
      </c>
    </row>
    <row r="134" spans="1:8" ht="27" customHeight="1" hidden="1" outlineLevel="3">
      <c r="A134" s="45" t="str">
        <f>'Приложение 2'!A137</f>
        <v>Закупка товаров, работ и услуг для государственных (муниципальных) нужд (софинансирование)</v>
      </c>
      <c r="B134" s="72" t="str">
        <f>'Приложение 2'!C137</f>
        <v>0412</v>
      </c>
      <c r="C134" s="72" t="str">
        <f>'Приложение 2'!D137</f>
        <v>09</v>
      </c>
      <c r="D134" s="72">
        <f>'Приложение 2'!E137</f>
        <v>0</v>
      </c>
      <c r="E134" s="72">
        <f>'Приложение 2'!F137</f>
        <v>200</v>
      </c>
      <c r="F134" s="58">
        <f>'Приложение 2'!G137</f>
        <v>59.95982</v>
      </c>
      <c r="G134" s="58">
        <f>'Приложение 2'!H137</f>
        <v>59.95982</v>
      </c>
      <c r="H134" s="64">
        <f t="shared" si="1"/>
        <v>100</v>
      </c>
    </row>
    <row r="135" spans="1:8" ht="12.75" outlineLevel="2">
      <c r="A135" s="45" t="str">
        <f>'Приложение 2'!A138</f>
        <v>Жилищно-коммунальное хозяйство</v>
      </c>
      <c r="B135" s="72" t="str">
        <f>'Приложение 2'!C138</f>
        <v>0500</v>
      </c>
      <c r="C135" s="72"/>
      <c r="D135" s="72"/>
      <c r="E135" s="72"/>
      <c r="F135" s="58">
        <f>'Приложение 2'!G138</f>
        <v>26921.575240000002</v>
      </c>
      <c r="G135" s="58">
        <f>'Приложение 2'!H138</f>
        <v>11921.57524</v>
      </c>
      <c r="H135" s="64">
        <f t="shared" si="1"/>
        <v>44.28260654780318</v>
      </c>
    </row>
    <row r="136" spans="1:8" ht="12.75" outlineLevel="3">
      <c r="A136" s="45" t="str">
        <f>'Приложение 2'!A139</f>
        <v>Коммунальное хозяйство</v>
      </c>
      <c r="B136" s="72" t="str">
        <f>'Приложение 2'!C139</f>
        <v>0502</v>
      </c>
      <c r="C136" s="72"/>
      <c r="D136" s="72"/>
      <c r="E136" s="72"/>
      <c r="F136" s="58">
        <f>'Приложение 2'!G139</f>
        <v>19896.17524</v>
      </c>
      <c r="G136" s="58">
        <f>'Приложение 2'!H139</f>
        <v>4896.17524</v>
      </c>
      <c r="H136" s="64">
        <f t="shared" si="1"/>
        <v>24.608625431467598</v>
      </c>
    </row>
    <row r="137" spans="1:8" ht="37.5" customHeight="1" outlineLevel="3">
      <c r="A137" s="45" t="str">
        <f>'Приложение 2'!A140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7" s="72" t="str">
        <f>'Приложение 2'!C140</f>
        <v>0502</v>
      </c>
      <c r="C137" s="72" t="str">
        <f>'Приложение 2'!D140</f>
        <v>02</v>
      </c>
      <c r="D137" s="72">
        <f>'Приложение 2'!E140</f>
        <v>0</v>
      </c>
      <c r="E137" s="72"/>
      <c r="F137" s="58">
        <f>'Приложение 2'!G140</f>
        <v>15600</v>
      </c>
      <c r="G137" s="58">
        <f>'Приложение 2'!H140</f>
        <v>600</v>
      </c>
      <c r="H137" s="64">
        <f t="shared" si="1"/>
        <v>3.8461538461538463</v>
      </c>
    </row>
    <row r="138" spans="1:8" ht="35.25" customHeight="1" outlineLevel="3">
      <c r="A138" s="45" t="str">
        <f>'Приложение 2'!A141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8" s="72" t="str">
        <f>'Приложение 2'!C141</f>
        <v>0502</v>
      </c>
      <c r="C138" s="72" t="str">
        <f>'Приложение 2'!D141</f>
        <v>02</v>
      </c>
      <c r="D138" s="72">
        <f>'Приложение 2'!E141</f>
        <v>1</v>
      </c>
      <c r="E138" s="72"/>
      <c r="F138" s="58">
        <f>'Приложение 2'!G141</f>
        <v>600</v>
      </c>
      <c r="G138" s="58">
        <f>'Приложение 2'!H141</f>
        <v>600</v>
      </c>
      <c r="H138" s="64">
        <f aca="true" t="shared" si="2" ref="H138:H201">SUM(G138/F138)*100</f>
        <v>100</v>
      </c>
    </row>
    <row r="139" spans="1:8" ht="24.75" customHeight="1" hidden="1" outlineLevel="3">
      <c r="A139" s="45" t="str">
        <f>'Приложение 2'!A142</f>
        <v>Закупка товаров, работ и услуг для государственных (муниципальных) нужд</v>
      </c>
      <c r="B139" s="72" t="str">
        <f>'Приложение 2'!C142</f>
        <v>0502</v>
      </c>
      <c r="C139" s="72" t="str">
        <f>'Приложение 2'!D142</f>
        <v>02</v>
      </c>
      <c r="D139" s="72">
        <f>'Приложение 2'!E142</f>
        <v>1</v>
      </c>
      <c r="E139" s="72">
        <f>'Приложение 2'!F142</f>
        <v>200</v>
      </c>
      <c r="F139" s="58">
        <f>'Приложение 2'!G142</f>
        <v>0</v>
      </c>
      <c r="G139" s="58">
        <f>'Приложение 2'!H142</f>
        <v>0</v>
      </c>
      <c r="H139" s="64" t="e">
        <f t="shared" si="2"/>
        <v>#DIV/0!</v>
      </c>
    </row>
    <row r="140" spans="1:8" ht="36" hidden="1" outlineLevel="3">
      <c r="A140" s="45" t="str">
        <f>'Приложение 2'!A143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40" s="72" t="str">
        <f>'Приложение 2'!C143</f>
        <v>0502</v>
      </c>
      <c r="C140" s="72" t="str">
        <f>'Приложение 2'!D143</f>
        <v>02</v>
      </c>
      <c r="D140" s="72">
        <f>'Приложение 2'!E143</f>
        <v>1</v>
      </c>
      <c r="E140" s="72">
        <f>'Приложение 2'!F143</f>
        <v>500</v>
      </c>
      <c r="F140" s="58">
        <f>'Приложение 2'!G143</f>
        <v>0</v>
      </c>
      <c r="G140" s="58">
        <f>'Приложение 2'!H143</f>
        <v>0</v>
      </c>
      <c r="H140" s="64" t="e">
        <f t="shared" si="2"/>
        <v>#DIV/0!</v>
      </c>
    </row>
    <row r="141" spans="1:8" ht="17.25" customHeight="1" outlineLevel="3">
      <c r="A141" s="45" t="str">
        <f>'Приложение 2'!A144</f>
        <v>Межбюджетные трансферты</v>
      </c>
      <c r="B141" s="72" t="str">
        <f>'Приложение 2'!C144</f>
        <v>0502</v>
      </c>
      <c r="C141" s="72" t="str">
        <f>'Приложение 2'!D144</f>
        <v>02</v>
      </c>
      <c r="D141" s="72">
        <f>'Приложение 2'!E144</f>
        <v>1</v>
      </c>
      <c r="E141" s="72">
        <f>'Приложение 2'!F144</f>
        <v>500</v>
      </c>
      <c r="F141" s="58">
        <f>'Приложение 2'!G144</f>
        <v>600</v>
      </c>
      <c r="G141" s="58">
        <f>'Приложение 2'!H144</f>
        <v>600</v>
      </c>
      <c r="H141" s="64">
        <f t="shared" si="2"/>
        <v>100</v>
      </c>
    </row>
    <row r="142" spans="1:8" ht="36" hidden="1" outlineLevel="3">
      <c r="A142" s="45" t="str">
        <f>'Приложение 2'!A145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42" s="72" t="str">
        <f>'Приложение 2'!C145</f>
        <v>0502</v>
      </c>
      <c r="C142" s="72" t="str">
        <f>'Приложение 2'!D145</f>
        <v>02</v>
      </c>
      <c r="D142" s="72">
        <f>'Приложение 2'!E145</f>
        <v>3</v>
      </c>
      <c r="E142" s="72"/>
      <c r="F142" s="58">
        <f>'Приложение 2'!G145</f>
        <v>15000</v>
      </c>
      <c r="G142" s="58">
        <f>'Приложение 2'!H145</f>
        <v>0</v>
      </c>
      <c r="H142" s="64">
        <f t="shared" si="2"/>
        <v>0</v>
      </c>
    </row>
    <row r="143" spans="1:8" ht="24" hidden="1" outlineLevel="3">
      <c r="A143" s="45" t="str">
        <f>'Приложение 2'!A146</f>
        <v>Капитальные вложения в объекты государственной (муниципальной) собственности</v>
      </c>
      <c r="B143" s="72" t="str">
        <f>'Приложение 2'!C146</f>
        <v>0502</v>
      </c>
      <c r="C143" s="72" t="str">
        <f>'Приложение 2'!D146</f>
        <v>02</v>
      </c>
      <c r="D143" s="72">
        <f>'Приложение 2'!E146</f>
        <v>3</v>
      </c>
      <c r="E143" s="72">
        <f>'Приложение 2'!F146</f>
        <v>400</v>
      </c>
      <c r="F143" s="58">
        <f>'Приложение 2'!G146</f>
        <v>15000</v>
      </c>
      <c r="G143" s="58">
        <f>'Приложение 2'!H146</f>
        <v>0</v>
      </c>
      <c r="H143" s="64">
        <f t="shared" si="2"/>
        <v>0</v>
      </c>
    </row>
    <row r="144" spans="1:8" ht="60" outlineLevel="3">
      <c r="A144" s="45" t="str">
        <f>'Приложение 2'!A147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4" s="72" t="str">
        <f>'Приложение 2'!C147</f>
        <v>0502</v>
      </c>
      <c r="C144" s="72" t="str">
        <f>'Приложение 2'!D147</f>
        <v>51</v>
      </c>
      <c r="D144" s="72">
        <f>'Приложение 2'!E147</f>
        <v>0</v>
      </c>
      <c r="E144" s="72"/>
      <c r="F144" s="58">
        <f>'Приложение 2'!G147</f>
        <v>3720.74621</v>
      </c>
      <c r="G144" s="58">
        <f>'Приложение 2'!H147</f>
        <v>3720.74621</v>
      </c>
      <c r="H144" s="64">
        <f t="shared" si="2"/>
        <v>100</v>
      </c>
    </row>
    <row r="145" spans="1:8" ht="24" outlineLevel="3">
      <c r="A145" s="45" t="str">
        <f>'Приложение 2'!A148</f>
        <v>Предоставление субсидий бюджетным, автономным учреждениям и иным некоммерческим организациям</v>
      </c>
      <c r="B145" s="72" t="str">
        <f>'Приложение 2'!C148</f>
        <v>0502</v>
      </c>
      <c r="C145" s="72" t="str">
        <f>'Приложение 2'!D148</f>
        <v>51</v>
      </c>
      <c r="D145" s="72">
        <f>'Приложение 2'!E148</f>
        <v>0</v>
      </c>
      <c r="E145" s="72">
        <f>'Приложение 2'!F148</f>
        <v>600</v>
      </c>
      <c r="F145" s="58">
        <f>'Приложение 2'!G148</f>
        <v>3720.74621</v>
      </c>
      <c r="G145" s="58">
        <f>'Приложение 2'!H148</f>
        <v>3720.74621</v>
      </c>
      <c r="H145" s="64">
        <f t="shared" si="2"/>
        <v>100</v>
      </c>
    </row>
    <row r="146" spans="1:8" ht="50.25" customHeight="1" outlineLevel="1">
      <c r="A146" s="45" t="str">
        <f>'Приложение 2'!A149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6" s="72" t="str">
        <f>'Приложение 2'!C149</f>
        <v>0502</v>
      </c>
      <c r="C146" s="72"/>
      <c r="D146" s="72"/>
      <c r="E146" s="72"/>
      <c r="F146" s="58">
        <f>'Приложение 2'!G149</f>
        <v>575.42903</v>
      </c>
      <c r="G146" s="58">
        <f>'Приложение 2'!H149</f>
        <v>575.42903</v>
      </c>
      <c r="H146" s="64">
        <f t="shared" si="2"/>
        <v>100</v>
      </c>
    </row>
    <row r="147" spans="1:8" ht="24" outlineLevel="1">
      <c r="A147" s="45" t="str">
        <f>'Приложение 2'!A150</f>
        <v>Непрограммные расходы органов местного самоуправления Алексеевского муниципального района</v>
      </c>
      <c r="B147" s="72" t="str">
        <f>'Приложение 2'!C150</f>
        <v>0502</v>
      </c>
      <c r="C147" s="72" t="str">
        <f>'Приложение 2'!D150</f>
        <v>99</v>
      </c>
      <c r="D147" s="72">
        <f>'Приложение 2'!E150</f>
        <v>0</v>
      </c>
      <c r="E147" s="72"/>
      <c r="F147" s="58">
        <f>'Приложение 2'!G150</f>
        <v>575.42903</v>
      </c>
      <c r="G147" s="58">
        <f>'Приложение 2'!H150</f>
        <v>575.42903</v>
      </c>
      <c r="H147" s="64">
        <f t="shared" si="2"/>
        <v>100</v>
      </c>
    </row>
    <row r="148" spans="1:8" ht="12.75" outlineLevel="1">
      <c r="A148" s="45" t="str">
        <f>'Приложение 2'!A151</f>
        <v>Иные бюджетные ассигнования</v>
      </c>
      <c r="B148" s="72" t="str">
        <f>'Приложение 2'!C151</f>
        <v>0502</v>
      </c>
      <c r="C148" s="72" t="str">
        <f>'Приложение 2'!D151</f>
        <v>99</v>
      </c>
      <c r="D148" s="72">
        <f>'Приложение 2'!E151</f>
        <v>0</v>
      </c>
      <c r="E148" s="72">
        <f>'Приложение 2'!F151</f>
        <v>800</v>
      </c>
      <c r="F148" s="58">
        <f>'Приложение 2'!G151</f>
        <v>575.42903</v>
      </c>
      <c r="G148" s="58">
        <f>'Приложение 2'!H151</f>
        <v>575.42903</v>
      </c>
      <c r="H148" s="64">
        <f t="shared" si="2"/>
        <v>100</v>
      </c>
    </row>
    <row r="149" spans="1:8" ht="12.75" outlineLevel="1">
      <c r="A149" s="45" t="str">
        <f>'Приложение 2'!A152</f>
        <v>Благоустройство</v>
      </c>
      <c r="B149" s="72" t="str">
        <f>'Приложение 2'!C152</f>
        <v>0503</v>
      </c>
      <c r="C149" s="72"/>
      <c r="D149" s="72"/>
      <c r="E149" s="72"/>
      <c r="F149" s="58">
        <f>'Приложение 2'!G152</f>
        <v>7025.400000000001</v>
      </c>
      <c r="G149" s="58">
        <f>'Приложение 2'!H152</f>
        <v>7025.400000000001</v>
      </c>
      <c r="H149" s="64">
        <f t="shared" si="2"/>
        <v>100</v>
      </c>
    </row>
    <row r="150" spans="1:8" ht="24" outlineLevel="1">
      <c r="A150" s="45" t="str">
        <f>'Приложение 2'!A153</f>
        <v>Непрограммные расходы органов местного самоуправления Алексеевского муниципального района</v>
      </c>
      <c r="B150" s="72" t="str">
        <f>'Приложение 2'!C153</f>
        <v>0503</v>
      </c>
      <c r="C150" s="72" t="str">
        <f>'Приложение 2'!D153</f>
        <v>99</v>
      </c>
      <c r="D150" s="72">
        <f>'Приложение 2'!E153</f>
        <v>0</v>
      </c>
      <c r="E150" s="72"/>
      <c r="F150" s="58">
        <f>'Приложение 2'!G153</f>
        <v>4511.3</v>
      </c>
      <c r="G150" s="58">
        <f>'Приложение 2'!H153</f>
        <v>4511.3</v>
      </c>
      <c r="H150" s="64">
        <f t="shared" si="2"/>
        <v>100</v>
      </c>
    </row>
    <row r="151" spans="1:8" ht="47.25" customHeight="1" outlineLevel="1">
      <c r="A151" s="45" t="str">
        <f>'Приложение 2'!A154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51" s="72" t="str">
        <f>'Приложение 2'!C154</f>
        <v>0503</v>
      </c>
      <c r="C151" s="72" t="str">
        <f>'Приложение 2'!D154</f>
        <v>99</v>
      </c>
      <c r="D151" s="72">
        <f>'Приложение 2'!E154</f>
        <v>0</v>
      </c>
      <c r="E151" s="72">
        <f>'Приложение 2'!F154</f>
        <v>500</v>
      </c>
      <c r="F151" s="58">
        <f>'Приложение 2'!G154</f>
        <v>4511.3</v>
      </c>
      <c r="G151" s="58">
        <f>'Приложение 2'!H154</f>
        <v>4511.3</v>
      </c>
      <c r="H151" s="64">
        <f t="shared" si="2"/>
        <v>100</v>
      </c>
    </row>
    <row r="152" spans="1:8" ht="1.5" customHeight="1" hidden="1" outlineLevel="1">
      <c r="A152" s="45" t="str">
        <f>'Приложение 2'!A155</f>
        <v>Содержание на территории муниципального района межпоселенческих мест захоронения, организация ритуальных услуг</v>
      </c>
      <c r="B152" s="72" t="str">
        <f>'Приложение 2'!C155</f>
        <v>0503</v>
      </c>
      <c r="C152" s="72" t="str">
        <f>'Приложение 2'!D155</f>
        <v>99</v>
      </c>
      <c r="D152" s="72">
        <f>'Приложение 2'!E155</f>
        <v>0</v>
      </c>
      <c r="E152" s="72">
        <f>'Приложение 2'!F155</f>
        <v>200</v>
      </c>
      <c r="F152" s="58">
        <f>'Приложение 2'!G155</f>
        <v>0</v>
      </c>
      <c r="G152" s="58">
        <f>'Приложение 2'!H155</f>
        <v>0</v>
      </c>
      <c r="H152" s="64" t="e">
        <f t="shared" si="2"/>
        <v>#DIV/0!</v>
      </c>
    </row>
    <row r="153" spans="1:8" ht="24" outlineLevel="1">
      <c r="A153" s="45" t="str">
        <f>'Приложение 2'!A156</f>
        <v>Муниципальная программа "Комплексное развитие сельских территорий"</v>
      </c>
      <c r="B153" s="72" t="str">
        <f>'Приложение 2'!C156</f>
        <v>0503</v>
      </c>
      <c r="C153" s="72" t="str">
        <f>'Приложение 2'!D156</f>
        <v>03</v>
      </c>
      <c r="D153" s="72">
        <f>'Приложение 2'!E156</f>
        <v>0</v>
      </c>
      <c r="E153" s="72"/>
      <c r="F153" s="58">
        <f>'Приложение 2'!G156</f>
        <v>2514.1000000000004</v>
      </c>
      <c r="G153" s="58">
        <f>'Приложение 2'!H156</f>
        <v>2514.1000000000004</v>
      </c>
      <c r="H153" s="64">
        <f t="shared" si="2"/>
        <v>100</v>
      </c>
    </row>
    <row r="154" spans="1:8" ht="24" outlineLevel="1">
      <c r="A154" s="45" t="str">
        <f>'Приложение 2'!A157</f>
        <v>Предоставление субсидий бюджетным, автономным учреждениям и иным некоммерческим организациям</v>
      </c>
      <c r="B154" s="72" t="str">
        <f>'Приложение 2'!C157</f>
        <v>0503</v>
      </c>
      <c r="C154" s="72" t="str">
        <f>'Приложение 2'!D157</f>
        <v>03</v>
      </c>
      <c r="D154" s="72">
        <f>'Приложение 2'!E157</f>
        <v>0</v>
      </c>
      <c r="E154" s="72">
        <f>'Приложение 2'!F157</f>
        <v>600</v>
      </c>
      <c r="F154" s="58">
        <f>'Приложение 2'!G157</f>
        <v>2514.1000000000004</v>
      </c>
      <c r="G154" s="58">
        <f>'Приложение 2'!H157</f>
        <v>2514.1000000000004</v>
      </c>
      <c r="H154" s="64">
        <f t="shared" si="2"/>
        <v>100</v>
      </c>
    </row>
    <row r="155" spans="1:8" ht="12.75" outlineLevel="2">
      <c r="A155" s="45" t="str">
        <f>'Приложение 2'!A158</f>
        <v>Охрана окружающей среды</v>
      </c>
      <c r="B155" s="72" t="str">
        <f>'Приложение 2'!C158</f>
        <v>0600</v>
      </c>
      <c r="C155" s="72">
        <f>'Приложение 2'!D158</f>
        <v>0</v>
      </c>
      <c r="D155" s="72">
        <f>'Приложение 2'!E158</f>
        <v>0</v>
      </c>
      <c r="E155" s="72"/>
      <c r="F155" s="58">
        <f>'Приложение 2'!G158</f>
        <v>0</v>
      </c>
      <c r="G155" s="58">
        <f>'Приложение 2'!H158</f>
        <v>0</v>
      </c>
      <c r="H155" s="64" t="e">
        <f t="shared" si="2"/>
        <v>#DIV/0!</v>
      </c>
    </row>
    <row r="156" spans="1:8" ht="24" outlineLevel="5">
      <c r="A156" s="45" t="str">
        <f>'Приложение 2'!A159</f>
        <v>Муниципальная программа "Охрана окружающей среды Алексеевского муниципального района на 2019-2023 годы"</v>
      </c>
      <c r="B156" s="72" t="str">
        <f>'Приложение 2'!C159</f>
        <v>0605</v>
      </c>
      <c r="C156" s="72" t="str">
        <f>'Приложение 2'!D159</f>
        <v>05</v>
      </c>
      <c r="D156" s="72">
        <f>'Приложение 2'!E159</f>
        <v>0</v>
      </c>
      <c r="E156" s="72"/>
      <c r="F156" s="58">
        <f>'Приложение 2'!G159</f>
        <v>0</v>
      </c>
      <c r="G156" s="58">
        <f>'Приложение 2'!H159</f>
        <v>0</v>
      </c>
      <c r="H156" s="64" t="e">
        <f t="shared" si="2"/>
        <v>#DIV/0!</v>
      </c>
    </row>
    <row r="157" spans="1:8" ht="24" outlineLevel="5">
      <c r="A157" s="45" t="str">
        <f>'Приложение 2'!A160</f>
        <v>Закупка товаров, работ и услуг для государственных (муниципальных) нужд</v>
      </c>
      <c r="B157" s="72" t="str">
        <f>'Приложение 2'!C160</f>
        <v>0605</v>
      </c>
      <c r="C157" s="72" t="str">
        <f>'Приложение 2'!D160</f>
        <v>05</v>
      </c>
      <c r="D157" s="72">
        <f>'Приложение 2'!E160</f>
        <v>0</v>
      </c>
      <c r="E157" s="72">
        <f>'Приложение 2'!F160</f>
        <v>200</v>
      </c>
      <c r="F157" s="58">
        <f>'Приложение 2'!G160</f>
        <v>0</v>
      </c>
      <c r="G157" s="58">
        <f>'Приложение 2'!H160</f>
        <v>0</v>
      </c>
      <c r="H157" s="64" t="e">
        <f t="shared" si="2"/>
        <v>#DIV/0!</v>
      </c>
    </row>
    <row r="158" spans="1:8" ht="24" hidden="1" outlineLevel="5">
      <c r="A158" s="45" t="str">
        <f>'Приложение 2'!A161</f>
        <v>Предоставление субсидий бюджетным, автономным учреждениям и иным некоммерческим организациям</v>
      </c>
      <c r="B158" s="72" t="str">
        <f>'Приложение 2'!C161</f>
        <v>0605</v>
      </c>
      <c r="C158" s="72" t="str">
        <f>'Приложение 2'!D161</f>
        <v>05</v>
      </c>
      <c r="D158" s="72">
        <f>'Приложение 2'!E161</f>
        <v>0</v>
      </c>
      <c r="E158" s="72">
        <f>'Приложение 2'!F161</f>
        <v>600</v>
      </c>
      <c r="F158" s="58">
        <f>'Приложение 2'!G161</f>
        <v>0</v>
      </c>
      <c r="G158" s="58">
        <f>'Приложение 2'!H161</f>
        <v>0</v>
      </c>
      <c r="H158" s="64" t="e">
        <f t="shared" si="2"/>
        <v>#DIV/0!</v>
      </c>
    </row>
    <row r="159" spans="1:8" ht="12.75" outlineLevel="5">
      <c r="A159" s="45" t="str">
        <f>'Приложение 2'!A162</f>
        <v>Образование</v>
      </c>
      <c r="B159" s="72" t="str">
        <f>'Приложение 2'!C162</f>
        <v>0700</v>
      </c>
      <c r="C159" s="72"/>
      <c r="D159" s="72"/>
      <c r="E159" s="72"/>
      <c r="F159" s="58">
        <f>'Приложение 2'!G162</f>
        <v>296949.49645000004</v>
      </c>
      <c r="G159" s="58">
        <f>'Приложение 2'!H162</f>
        <v>274838.9477</v>
      </c>
      <c r="H159" s="64">
        <f t="shared" si="2"/>
        <v>92.55410464933287</v>
      </c>
    </row>
    <row r="160" spans="1:8" ht="12.75" outlineLevel="2">
      <c r="A160" s="45" t="str">
        <f>'Приложение 2'!A163</f>
        <v>Дошкольное образование</v>
      </c>
      <c r="B160" s="72" t="str">
        <f>'Приложение 2'!C163</f>
        <v>0701</v>
      </c>
      <c r="C160" s="72"/>
      <c r="D160" s="72"/>
      <c r="E160" s="72"/>
      <c r="F160" s="58">
        <f>'Приложение 2'!G163</f>
        <v>41574.66481999999</v>
      </c>
      <c r="G160" s="58">
        <f>'Приложение 2'!H163</f>
        <v>39611.592619999996</v>
      </c>
      <c r="H160" s="64">
        <f t="shared" si="2"/>
        <v>95.27820077804779</v>
      </c>
    </row>
    <row r="161" spans="1:8" ht="35.25" customHeight="1" outlineLevel="2">
      <c r="A161" s="45" t="str">
        <f>'Приложение 2'!A164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61" s="72" t="str">
        <f>'Приложение 2'!C164</f>
        <v>0701</v>
      </c>
      <c r="C161" s="72" t="str">
        <f>'Приложение 2'!D164</f>
        <v>02</v>
      </c>
      <c r="D161" s="72">
        <f>'Приложение 2'!E164</f>
        <v>0</v>
      </c>
      <c r="E161" s="72"/>
      <c r="F161" s="58">
        <f>'Приложение 2'!G164</f>
        <v>277.50926999999996</v>
      </c>
      <c r="G161" s="58">
        <f>'Приложение 2'!H164</f>
        <v>277.50926999999996</v>
      </c>
      <c r="H161" s="64">
        <f t="shared" si="2"/>
        <v>100</v>
      </c>
    </row>
    <row r="162" spans="1:8" ht="36" hidden="1" outlineLevel="2">
      <c r="A162" s="45" t="str">
        <f>'Приложение 2'!A165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62" s="72" t="str">
        <f>'Приложение 2'!C165</f>
        <v>0701</v>
      </c>
      <c r="C162" s="72" t="str">
        <f>'Приложение 2'!D165</f>
        <v>02</v>
      </c>
      <c r="D162" s="72">
        <f>'Приложение 2'!E165</f>
        <v>3</v>
      </c>
      <c r="E162" s="72"/>
      <c r="F162" s="58">
        <f>'Приложение 2'!G165</f>
        <v>0</v>
      </c>
      <c r="G162" s="58">
        <f>'Приложение 2'!H165</f>
        <v>0</v>
      </c>
      <c r="H162" s="64" t="e">
        <f t="shared" si="2"/>
        <v>#DIV/0!</v>
      </c>
    </row>
    <row r="163" spans="1:8" ht="21" customHeight="1" hidden="1" outlineLevel="2">
      <c r="A163" s="45" t="str">
        <f>'Приложение 2'!A166</f>
        <v>Капитальные вложения в объекты государственной (муниципальной) собственности</v>
      </c>
      <c r="B163" s="72" t="str">
        <f>'Приложение 2'!C166</f>
        <v>0701</v>
      </c>
      <c r="C163" s="72" t="str">
        <f>'Приложение 2'!D166</f>
        <v>02</v>
      </c>
      <c r="D163" s="72">
        <f>'Приложение 2'!E166</f>
        <v>3</v>
      </c>
      <c r="E163" s="72" t="s">
        <v>256</v>
      </c>
      <c r="F163" s="58">
        <f>'Приложение 2'!G166</f>
        <v>0</v>
      </c>
      <c r="G163" s="58">
        <f>'Приложение 2'!H166</f>
        <v>0</v>
      </c>
      <c r="H163" s="64" t="e">
        <f t="shared" si="2"/>
        <v>#DIV/0!</v>
      </c>
    </row>
    <row r="164" spans="1:8" ht="24" hidden="1" outlineLevel="2">
      <c r="A164" s="45" t="str">
        <f>'Приложение 2'!A167</f>
        <v>Предоставление субсидий бюджетным, автономным учреждениям и иным некоммерческим организациям</v>
      </c>
      <c r="B164" s="72" t="str">
        <f>'Приложение 2'!C167</f>
        <v>0701</v>
      </c>
      <c r="C164" s="72" t="str">
        <f>'Приложение 2'!D167</f>
        <v>02</v>
      </c>
      <c r="D164" s="72">
        <f>'Приложение 2'!E167</f>
        <v>3</v>
      </c>
      <c r="E164" s="72">
        <f>'Приложение 2'!F167</f>
        <v>600</v>
      </c>
      <c r="F164" s="58">
        <f>'Приложение 2'!G167</f>
        <v>0</v>
      </c>
      <c r="G164" s="58">
        <f>'Приложение 2'!H167</f>
        <v>0</v>
      </c>
      <c r="H164" s="64" t="e">
        <f t="shared" si="2"/>
        <v>#DIV/0!</v>
      </c>
    </row>
    <row r="165" spans="1:8" ht="38.25" customHeight="1" outlineLevel="2">
      <c r="A165" s="45" t="str">
        <f>'Приложение 2'!A168</f>
        <v>Подпрограмма "Энергосбережение и повышение энергетической эффективности Алексеевского муниципального района"</v>
      </c>
      <c r="B165" s="72" t="str">
        <f>'Приложение 2'!C168</f>
        <v>0701</v>
      </c>
      <c r="C165" s="72" t="str">
        <f>'Приложение 2'!D168</f>
        <v>02</v>
      </c>
      <c r="D165" s="72">
        <f>'Приложение 2'!E168</f>
        <v>4</v>
      </c>
      <c r="E165" s="72"/>
      <c r="F165" s="58">
        <f>'Приложение 2'!G168</f>
        <v>277.50926999999996</v>
      </c>
      <c r="G165" s="58">
        <f>'Приложение 2'!H168</f>
        <v>277.50926999999996</v>
      </c>
      <c r="H165" s="64">
        <f t="shared" si="2"/>
        <v>100</v>
      </c>
    </row>
    <row r="166" spans="1:8" ht="24" outlineLevel="2">
      <c r="A166" s="45" t="str">
        <f>'Приложение 2'!A169</f>
        <v>Предоставление субсидий бюджетным, автономным учреждениям и иным некоммерческим организациям</v>
      </c>
      <c r="B166" s="72" t="str">
        <f>'Приложение 2'!C169</f>
        <v>0701</v>
      </c>
      <c r="C166" s="72" t="str">
        <f>'Приложение 2'!D169</f>
        <v>02</v>
      </c>
      <c r="D166" s="72">
        <f>'Приложение 2'!E169</f>
        <v>4</v>
      </c>
      <c r="E166" s="72">
        <f>'Приложение 2'!F169</f>
        <v>600</v>
      </c>
      <c r="F166" s="58">
        <f>'Приложение 2'!G169</f>
        <v>277.50926999999996</v>
      </c>
      <c r="G166" s="58">
        <f>'Приложение 2'!H169</f>
        <v>277.50926999999996</v>
      </c>
      <c r="H166" s="64">
        <f t="shared" si="2"/>
        <v>100</v>
      </c>
    </row>
    <row r="167" spans="1:8" ht="96" outlineLevel="2">
      <c r="A167" s="45" t="str">
        <f>'Приложение 2'!A170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7" s="72" t="str">
        <f>'Приложение 2'!C170</f>
        <v>0701</v>
      </c>
      <c r="C167" s="72" t="str">
        <f>'Приложение 2'!D170</f>
        <v>22</v>
      </c>
      <c r="D167" s="72">
        <f>'Приложение 2'!E170</f>
        <v>0</v>
      </c>
      <c r="E167" s="72"/>
      <c r="F167" s="58">
        <f>'Приложение 2'!G170</f>
        <v>128.54496</v>
      </c>
      <c r="G167" s="58">
        <f>'Приложение 2'!H170</f>
        <v>128.54496</v>
      </c>
      <c r="H167" s="64">
        <f t="shared" si="2"/>
        <v>100</v>
      </c>
    </row>
    <row r="168" spans="1:8" ht="24" outlineLevel="2">
      <c r="A168" s="45" t="str">
        <f>'Приложение 2'!A171</f>
        <v>Предоставление субсидий бюджетным, автономным учреждениям и иным некоммерческим организациям</v>
      </c>
      <c r="B168" s="72" t="str">
        <f>'Приложение 2'!C171</f>
        <v>0701</v>
      </c>
      <c r="C168" s="72" t="str">
        <f>'Приложение 2'!D171</f>
        <v>22</v>
      </c>
      <c r="D168" s="72">
        <f>'Приложение 2'!E171</f>
        <v>0</v>
      </c>
      <c r="E168" s="72">
        <f>'Приложение 2'!F171</f>
        <v>600</v>
      </c>
      <c r="F168" s="58">
        <f>'Приложение 2'!G171</f>
        <v>128.54496</v>
      </c>
      <c r="G168" s="58">
        <f>'Приложение 2'!H171</f>
        <v>128.54496</v>
      </c>
      <c r="H168" s="64">
        <f t="shared" si="2"/>
        <v>100</v>
      </c>
    </row>
    <row r="169" spans="1:8" ht="36" outlineLevel="2">
      <c r="A169" s="45" t="str">
        <f>'Приложение 2'!A172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9" s="72" t="str">
        <f>'Приложение 2'!C172</f>
        <v>0701</v>
      </c>
      <c r="C169" s="72" t="str">
        <f>'Приложение 2'!D172</f>
        <v>52</v>
      </c>
      <c r="D169" s="72">
        <f>'Приложение 2'!E172</f>
        <v>0</v>
      </c>
      <c r="E169" s="72"/>
      <c r="F169" s="58">
        <f>'Приложение 2'!G172</f>
        <v>27425.84045</v>
      </c>
      <c r="G169" s="58">
        <f>'Приложение 2'!H172</f>
        <v>26301.248069999998</v>
      </c>
      <c r="H169" s="64">
        <f t="shared" si="2"/>
        <v>95.89951534192636</v>
      </c>
    </row>
    <row r="170" spans="1:8" ht="24" outlineLevel="2">
      <c r="A170" s="45" t="str">
        <f>'Приложение 2'!A173</f>
        <v>Предоставление субсидий бюджетным, автономным учреждениям и иным некоммерческим организациям</v>
      </c>
      <c r="B170" s="72" t="str">
        <f>'Приложение 2'!C173</f>
        <v>0701</v>
      </c>
      <c r="C170" s="72" t="str">
        <f>'Приложение 2'!D173</f>
        <v>52</v>
      </c>
      <c r="D170" s="72">
        <f>'Приложение 2'!E173</f>
        <v>0</v>
      </c>
      <c r="E170" s="72">
        <f>'Приложение 2'!F173</f>
        <v>600</v>
      </c>
      <c r="F170" s="58">
        <f>'Приложение 2'!G173</f>
        <v>12450.188890000001</v>
      </c>
      <c r="G170" s="58">
        <f>'Приложение 2'!H173</f>
        <v>11720.19651</v>
      </c>
      <c r="H170" s="64">
        <f t="shared" si="2"/>
        <v>94.13669634694192</v>
      </c>
    </row>
    <row r="171" spans="1:8" ht="36" outlineLevel="2">
      <c r="A171" s="45" t="str">
        <f>'Приложение 2'!A174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71" s="72" t="str">
        <f>'Приложение 2'!C174</f>
        <v>0701</v>
      </c>
      <c r="C171" s="72" t="str">
        <f>'Приложение 2'!D174</f>
        <v>52</v>
      </c>
      <c r="D171" s="72">
        <f>'Приложение 2'!E174</f>
        <v>0</v>
      </c>
      <c r="E171" s="72">
        <f>'Приложение 2'!F174</f>
        <v>600</v>
      </c>
      <c r="F171" s="58">
        <f>'Приложение 2'!G174</f>
        <v>14939.9</v>
      </c>
      <c r="G171" s="58">
        <f>'Приложение 2'!H174</f>
        <v>14545.3</v>
      </c>
      <c r="H171" s="64">
        <f t="shared" si="2"/>
        <v>97.35875072791652</v>
      </c>
    </row>
    <row r="172" spans="1:8" ht="46.5" customHeight="1" hidden="1" outlineLevel="2">
      <c r="A172" s="45" t="str">
        <f>'Приложение 2'!A175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2" s="72" t="str">
        <f>'Приложение 2'!C175</f>
        <v>0701</v>
      </c>
      <c r="C172" s="72" t="str">
        <f>'Приложение 2'!D175</f>
        <v>52</v>
      </c>
      <c r="D172" s="72">
        <f>'Приложение 2'!E175</f>
        <v>0</v>
      </c>
      <c r="E172" s="72">
        <f>'Приложение 2'!F175</f>
        <v>600</v>
      </c>
      <c r="F172" s="58">
        <f>'Приложение 2'!G175</f>
        <v>0</v>
      </c>
      <c r="G172" s="58">
        <f>'Приложение 2'!H175</f>
        <v>0</v>
      </c>
      <c r="H172" s="64" t="e">
        <f t="shared" si="2"/>
        <v>#DIV/0!</v>
      </c>
    </row>
    <row r="173" spans="1:8" ht="23.25" customHeight="1" outlineLevel="2">
      <c r="A173" s="45" t="str">
        <f>'Приложение 2'!A176</f>
        <v>За счет средств на расходы на осуществление социальных гарантий молодым специалистам</v>
      </c>
      <c r="B173" s="72" t="str">
        <f>'Приложение 2'!C176</f>
        <v>0701</v>
      </c>
      <c r="C173" s="72" t="str">
        <f>'Приложение 2'!D176</f>
        <v>52</v>
      </c>
      <c r="D173" s="72">
        <f>'Приложение 2'!E176</f>
        <v>0</v>
      </c>
      <c r="E173" s="72">
        <f>'Приложение 2'!F176</f>
        <v>600</v>
      </c>
      <c r="F173" s="58">
        <f>'Приложение 2'!G176</f>
        <v>35.75156</v>
      </c>
      <c r="G173" s="58">
        <f>'Приложение 2'!H176</f>
        <v>35.75156</v>
      </c>
      <c r="H173" s="64">
        <f t="shared" si="2"/>
        <v>100</v>
      </c>
    </row>
    <row r="174" spans="1:8" ht="108" hidden="1" outlineLevel="2">
      <c r="A174" s="45" t="str">
        <f>'Приложение 2'!A177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4" s="72" t="str">
        <f>'Приложение 2'!C177</f>
        <v>0701</v>
      </c>
      <c r="C174" s="72" t="str">
        <f>'Приложение 2'!D177</f>
        <v>52</v>
      </c>
      <c r="D174" s="72">
        <f>'Приложение 2'!E177</f>
        <v>0</v>
      </c>
      <c r="E174" s="72">
        <f>'Приложение 2'!F177</f>
        <v>600</v>
      </c>
      <c r="F174" s="58">
        <f>'Приложение 2'!G177</f>
        <v>0</v>
      </c>
      <c r="G174" s="58">
        <f>'Приложение 2'!H177</f>
        <v>0</v>
      </c>
      <c r="H174" s="64" t="e">
        <f t="shared" si="2"/>
        <v>#DIV/0!</v>
      </c>
    </row>
    <row r="175" spans="1:8" ht="36" outlineLevel="2">
      <c r="A175" s="45" t="str">
        <f>'Приложение 2'!A178</f>
        <v>Муниципальная программа "Развитие образования детей на территории Алексеевского муниципального района на 2023-2025 годы"</v>
      </c>
      <c r="B175" s="72" t="str">
        <f>'Приложение 2'!C178</f>
        <v>0701</v>
      </c>
      <c r="C175" s="72" t="str">
        <f>'Приложение 2'!D178</f>
        <v>53</v>
      </c>
      <c r="D175" s="72">
        <f>'Приложение 2'!E178</f>
        <v>0</v>
      </c>
      <c r="E175" s="72"/>
      <c r="F175" s="58">
        <f>'Приложение 2'!G178</f>
        <v>13605.07014</v>
      </c>
      <c r="G175" s="58">
        <f>'Приложение 2'!H178</f>
        <v>12766.59032</v>
      </c>
      <c r="H175" s="64">
        <f t="shared" si="2"/>
        <v>93.83700479768345</v>
      </c>
    </row>
    <row r="176" spans="1:8" ht="12.75" outlineLevel="2">
      <c r="A176" s="45" t="str">
        <f>'Приложение 2'!A179</f>
        <v>Подпрограмма "Развитие дошкольного образования детей"</v>
      </c>
      <c r="B176" s="72" t="str">
        <f>'Приложение 2'!C179</f>
        <v>0701</v>
      </c>
      <c r="C176" s="72" t="str">
        <f>'Приложение 2'!D179</f>
        <v>53</v>
      </c>
      <c r="D176" s="72">
        <f>'Приложение 2'!E179</f>
        <v>1</v>
      </c>
      <c r="E176" s="72">
        <f>'Приложение 2'!F179</f>
        <v>0</v>
      </c>
      <c r="F176" s="58">
        <f>'Приложение 2'!G179</f>
        <v>13605.07014</v>
      </c>
      <c r="G176" s="58">
        <f>'Приложение 2'!H179</f>
        <v>12766.59032</v>
      </c>
      <c r="H176" s="64">
        <f t="shared" si="2"/>
        <v>93.83700479768345</v>
      </c>
    </row>
    <row r="177" spans="1:8" ht="74.25" customHeight="1" outlineLevel="2">
      <c r="A177" s="45" t="str">
        <f>'Приложение 2'!A180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7" s="72" t="str">
        <f>'Приложение 2'!C180</f>
        <v>0701</v>
      </c>
      <c r="C177" s="72" t="str">
        <f>'Приложение 2'!D180</f>
        <v>53</v>
      </c>
      <c r="D177" s="72">
        <f>'Приложение 2'!E180</f>
        <v>1</v>
      </c>
      <c r="E177" s="72">
        <f>'Приложение 2'!F180</f>
        <v>600</v>
      </c>
      <c r="F177" s="58">
        <f>'Приложение 2'!G180</f>
        <v>9230.7</v>
      </c>
      <c r="G177" s="58">
        <f>'Приложение 2'!H180</f>
        <v>8453.4</v>
      </c>
      <c r="H177" s="64">
        <f t="shared" si="2"/>
        <v>91.57918684390131</v>
      </c>
    </row>
    <row r="178" spans="1:8" ht="51" customHeight="1" hidden="1" outlineLevel="2">
      <c r="A178" s="45" t="str">
        <f>'Приложение 2'!A181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8" s="72" t="str">
        <f>'Приложение 2'!C181</f>
        <v>0701</v>
      </c>
      <c r="C178" s="72" t="str">
        <f>'Приложение 2'!D181</f>
        <v>53</v>
      </c>
      <c r="D178" s="72">
        <f>'Приложение 2'!E181</f>
        <v>1</v>
      </c>
      <c r="E178" s="72">
        <f>'Приложение 2'!F181</f>
        <v>600</v>
      </c>
      <c r="F178" s="58">
        <f>'Приложение 2'!G181</f>
        <v>0</v>
      </c>
      <c r="G178" s="58">
        <f>'Приложение 2'!H181</f>
        <v>0</v>
      </c>
      <c r="H178" s="64" t="e">
        <f t="shared" si="2"/>
        <v>#DIV/0!</v>
      </c>
    </row>
    <row r="179" spans="1:8" ht="24" outlineLevel="2">
      <c r="A179" s="45" t="str">
        <f>'Приложение 2'!A182</f>
        <v>Предоставление субсидий бюджетным, автономным учреждениям и иным некоммерческим организациям</v>
      </c>
      <c r="B179" s="72" t="str">
        <f>'Приложение 2'!C182</f>
        <v>0701</v>
      </c>
      <c r="C179" s="72" t="str">
        <f>'Приложение 2'!D182</f>
        <v>53</v>
      </c>
      <c r="D179" s="72">
        <f>'Приложение 2'!E182</f>
        <v>1</v>
      </c>
      <c r="E179" s="72">
        <f>'Приложение 2'!F182</f>
        <v>600</v>
      </c>
      <c r="F179" s="58">
        <f>'Приложение 2'!G182</f>
        <v>4374.37014</v>
      </c>
      <c r="G179" s="58">
        <f>'Приложение 2'!H182</f>
        <v>4313.19032</v>
      </c>
      <c r="H179" s="64">
        <f t="shared" si="2"/>
        <v>98.6014027610384</v>
      </c>
    </row>
    <row r="180" spans="1:8" ht="24" outlineLevel="2">
      <c r="A180" s="45" t="str">
        <f>'Приложение 2'!A183</f>
        <v>Непрограммные расходы органов местного самоуправления Алексеевского муниципального района</v>
      </c>
      <c r="B180" s="72" t="str">
        <f>'Приложение 2'!C183</f>
        <v>0701</v>
      </c>
      <c r="C180" s="72" t="str">
        <f>'Приложение 2'!D183</f>
        <v>99</v>
      </c>
      <c r="D180" s="72">
        <f>'Приложение 2'!E183</f>
        <v>0</v>
      </c>
      <c r="E180" s="72"/>
      <c r="F180" s="58">
        <f>'Приложение 2'!G183</f>
        <v>137.7</v>
      </c>
      <c r="G180" s="58">
        <f>'Приложение 2'!H183</f>
        <v>137.7</v>
      </c>
      <c r="H180" s="64">
        <f t="shared" si="2"/>
        <v>100</v>
      </c>
    </row>
    <row r="181" spans="1:8" ht="16.5" customHeight="1" outlineLevel="2">
      <c r="A181" s="45" t="str">
        <f>'Приложение 2'!A184</f>
        <v>Резервный фонд Администрации Волгоградской области</v>
      </c>
      <c r="B181" s="72" t="str">
        <f>'Приложение 2'!C184</f>
        <v>0701</v>
      </c>
      <c r="C181" s="72" t="str">
        <f>'Приложение 2'!D184</f>
        <v>99</v>
      </c>
      <c r="D181" s="72">
        <f>'Приложение 2'!E184</f>
        <v>0</v>
      </c>
      <c r="E181" s="72">
        <f>'Приложение 2'!F184</f>
        <v>0</v>
      </c>
      <c r="F181" s="58">
        <f>'Приложение 2'!G184</f>
        <v>137.7</v>
      </c>
      <c r="G181" s="58">
        <f>'Приложение 2'!H184</f>
        <v>137.7</v>
      </c>
      <c r="H181" s="64">
        <f t="shared" si="2"/>
        <v>100</v>
      </c>
    </row>
    <row r="182" spans="1:8" ht="24" outlineLevel="2">
      <c r="A182" s="45" t="str">
        <f>'Приложение 2'!A185</f>
        <v>Предоставление субсидий бюджетным, автономным учреждениям и иным некоммерческим организациям</v>
      </c>
      <c r="B182" s="72" t="str">
        <f>'Приложение 2'!C185</f>
        <v>0701</v>
      </c>
      <c r="C182" s="72" t="str">
        <f>'Приложение 2'!D185</f>
        <v>99</v>
      </c>
      <c r="D182" s="72">
        <f>'Приложение 2'!E185</f>
        <v>0</v>
      </c>
      <c r="E182" s="72">
        <f>'Приложение 2'!F185</f>
        <v>600</v>
      </c>
      <c r="F182" s="58">
        <f>'Приложение 2'!G185</f>
        <v>137.7</v>
      </c>
      <c r="G182" s="58">
        <f>'Приложение 2'!H185</f>
        <v>137.7</v>
      </c>
      <c r="H182" s="64">
        <f t="shared" si="2"/>
        <v>100</v>
      </c>
    </row>
    <row r="183" spans="1:8" ht="12.75" outlineLevel="5">
      <c r="A183" s="45" t="str">
        <f>'Приложение 2'!A186</f>
        <v>Общее образование</v>
      </c>
      <c r="B183" s="72" t="str">
        <f>'Приложение 2'!C186</f>
        <v>0702</v>
      </c>
      <c r="C183" s="72"/>
      <c r="D183" s="72"/>
      <c r="E183" s="72"/>
      <c r="F183" s="58">
        <f>'Приложение 2'!G186</f>
        <v>231167.89034000004</v>
      </c>
      <c r="G183" s="58">
        <f>'Приложение 2'!H186</f>
        <v>211249.78744</v>
      </c>
      <c r="H183" s="64">
        <f t="shared" si="2"/>
        <v>91.38370693667504</v>
      </c>
    </row>
    <row r="184" spans="1:8" ht="24" outlineLevel="5">
      <c r="A184" s="45" t="str">
        <f>'Приложение 2'!A187</f>
        <v>Школы-детские сады, школы начальные, неполные средние и средние</v>
      </c>
      <c r="B184" s="72" t="str">
        <f>'Приложение 2'!C187</f>
        <v>0702</v>
      </c>
      <c r="C184" s="72"/>
      <c r="D184" s="72"/>
      <c r="E184" s="72"/>
      <c r="F184" s="58">
        <f>'Приложение 2'!G187</f>
        <v>231167.89034000004</v>
      </c>
      <c r="G184" s="58">
        <f>'Приложение 2'!H187</f>
        <v>211249.78744</v>
      </c>
      <c r="H184" s="64">
        <f t="shared" si="2"/>
        <v>91.38370693667504</v>
      </c>
    </row>
    <row r="185" spans="1:8" ht="37.5" customHeight="1" outlineLevel="5">
      <c r="A185" s="45" t="str">
        <f>'Приложение 2'!A188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5" s="72" t="str">
        <f>'Приложение 2'!C188</f>
        <v>0702</v>
      </c>
      <c r="C185" s="72" t="str">
        <f>'Приложение 2'!D188</f>
        <v>02</v>
      </c>
      <c r="D185" s="72">
        <f>'Приложение 2'!E188</f>
        <v>0</v>
      </c>
      <c r="E185" s="72"/>
      <c r="F185" s="58">
        <f>'Приложение 2'!G188</f>
        <v>9742.59755</v>
      </c>
      <c r="G185" s="58">
        <f>'Приложение 2'!H188</f>
        <v>9742.59755</v>
      </c>
      <c r="H185" s="64">
        <f t="shared" si="2"/>
        <v>100</v>
      </c>
    </row>
    <row r="186" spans="1:8" ht="33.75" customHeight="1" outlineLevel="5">
      <c r="A186" s="45" t="str">
        <f>'Приложение 2'!A189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6" s="72" t="str">
        <f>'Приложение 2'!C189</f>
        <v>0702</v>
      </c>
      <c r="C186" s="72" t="str">
        <f>'Приложение 2'!D189</f>
        <v>02</v>
      </c>
      <c r="D186" s="72">
        <f>'Приложение 2'!E189</f>
        <v>3</v>
      </c>
      <c r="E186" s="72"/>
      <c r="F186" s="58">
        <f>'Приложение 2'!G189</f>
        <v>8343.97315</v>
      </c>
      <c r="G186" s="58">
        <f>'Приложение 2'!H189</f>
        <v>8343.97315</v>
      </c>
      <c r="H186" s="64">
        <f t="shared" si="2"/>
        <v>100</v>
      </c>
    </row>
    <row r="187" spans="1:8" ht="24" hidden="1" outlineLevel="5">
      <c r="A187" s="45" t="str">
        <f>'Приложение 2'!A190</f>
        <v>Закупка товаров, работ и услуг для государственных (муниципальных) нужд</v>
      </c>
      <c r="B187" s="72" t="str">
        <f>'Приложение 2'!C190</f>
        <v>0702</v>
      </c>
      <c r="C187" s="72" t="str">
        <f>'Приложение 2'!D190</f>
        <v>02</v>
      </c>
      <c r="D187" s="72">
        <f>'Приложение 2'!E190</f>
        <v>3</v>
      </c>
      <c r="E187" s="72" t="s">
        <v>144</v>
      </c>
      <c r="F187" s="58">
        <f>'Приложение 2'!G190</f>
        <v>0</v>
      </c>
      <c r="G187" s="58">
        <f>'Приложение 2'!H190</f>
        <v>0</v>
      </c>
      <c r="H187" s="64" t="e">
        <f t="shared" si="2"/>
        <v>#DIV/0!</v>
      </c>
    </row>
    <row r="188" spans="1:8" ht="24" outlineLevel="5">
      <c r="A188" s="45" t="str">
        <f>'Приложение 2'!A191</f>
        <v>Предоставление субсидий бюджетным, автономным учреждениям и иным некоммерческим организациям</v>
      </c>
      <c r="B188" s="72" t="str">
        <f>'Приложение 2'!C191</f>
        <v>0702</v>
      </c>
      <c r="C188" s="72" t="str">
        <f>'Приложение 2'!D191</f>
        <v>02</v>
      </c>
      <c r="D188" s="72">
        <f>'Приложение 2'!E191</f>
        <v>3</v>
      </c>
      <c r="E188" s="72">
        <f>'Приложение 2'!F191</f>
        <v>600</v>
      </c>
      <c r="F188" s="58">
        <f>'Приложение 2'!G191</f>
        <v>8343.97315</v>
      </c>
      <c r="G188" s="58">
        <f>'Приложение 2'!H191</f>
        <v>8343.97315</v>
      </c>
      <c r="H188" s="64">
        <f t="shared" si="2"/>
        <v>100</v>
      </c>
    </row>
    <row r="189" spans="1:8" ht="36.75" customHeight="1" outlineLevel="5">
      <c r="A189" s="45" t="str">
        <f>'Приложение 2'!A192</f>
        <v>Подпрограмма "Энергосбережение и повышение энергетической эффективности Алексеевского муниципального района"</v>
      </c>
      <c r="B189" s="72" t="str">
        <f>'Приложение 2'!C192</f>
        <v>0702</v>
      </c>
      <c r="C189" s="72" t="str">
        <f>'Приложение 2'!D192</f>
        <v>02</v>
      </c>
      <c r="D189" s="72">
        <f>'Приложение 2'!E192</f>
        <v>4</v>
      </c>
      <c r="E189" s="72"/>
      <c r="F189" s="58">
        <f>'Приложение 2'!G192</f>
        <v>1398.6244</v>
      </c>
      <c r="G189" s="58">
        <f>'Приложение 2'!H192</f>
        <v>1398.6244</v>
      </c>
      <c r="H189" s="64">
        <f t="shared" si="2"/>
        <v>100</v>
      </c>
    </row>
    <row r="190" spans="1:8" ht="24" outlineLevel="5">
      <c r="A190" s="45" t="str">
        <f>'Приложение 2'!A193</f>
        <v>Закупка товаров, работ и услуг для государственных (муниципальных) нужд</v>
      </c>
      <c r="B190" s="72" t="str">
        <f>'Приложение 2'!C193</f>
        <v>0702</v>
      </c>
      <c r="C190" s="72" t="str">
        <f>'Приложение 2'!D193</f>
        <v>02</v>
      </c>
      <c r="D190" s="72">
        <f>'Приложение 2'!E193</f>
        <v>4</v>
      </c>
      <c r="E190" s="72">
        <f>'Приложение 2'!F193</f>
        <v>200</v>
      </c>
      <c r="F190" s="58">
        <f>'Приложение 2'!G193</f>
        <v>9.459</v>
      </c>
      <c r="G190" s="58">
        <f>'Приложение 2'!H193</f>
        <v>9.459</v>
      </c>
      <c r="H190" s="64">
        <f t="shared" si="2"/>
        <v>100</v>
      </c>
    </row>
    <row r="191" spans="1:8" ht="24" outlineLevel="5">
      <c r="A191" s="45" t="str">
        <f>'Приложение 2'!A194</f>
        <v>Предоставление субсидий бюджетным, автономным учреждениям и иным некоммерческим организациям</v>
      </c>
      <c r="B191" s="72" t="str">
        <f>'Приложение 2'!C194</f>
        <v>0702</v>
      </c>
      <c r="C191" s="72" t="str">
        <f>'Приложение 2'!D194</f>
        <v>02</v>
      </c>
      <c r="D191" s="72">
        <f>'Приложение 2'!E194</f>
        <v>4</v>
      </c>
      <c r="E191" s="72">
        <f>'Приложение 2'!F194</f>
        <v>600</v>
      </c>
      <c r="F191" s="58">
        <f>'Приложение 2'!G194</f>
        <v>336.53382</v>
      </c>
      <c r="G191" s="58">
        <f>'Приложение 2'!H194</f>
        <v>336.53382</v>
      </c>
      <c r="H191" s="64">
        <f t="shared" si="2"/>
        <v>100</v>
      </c>
    </row>
    <row r="192" spans="1:8" ht="60" outlineLevel="5">
      <c r="A192" s="45" t="str">
        <f>'Приложение 2'!A195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92" s="72" t="str">
        <f>'Приложение 2'!C195</f>
        <v>0702</v>
      </c>
      <c r="C192" s="72" t="str">
        <f>'Приложение 2'!D195</f>
        <v>02</v>
      </c>
      <c r="D192" s="72">
        <f>'Приложение 2'!E195</f>
        <v>4</v>
      </c>
      <c r="E192" s="72">
        <f>'Приложение 2'!F195</f>
        <v>600</v>
      </c>
      <c r="F192" s="58">
        <f>'Приложение 2'!G195</f>
        <v>1052.63158</v>
      </c>
      <c r="G192" s="58">
        <f>'Приложение 2'!H195</f>
        <v>1052.63158</v>
      </c>
      <c r="H192" s="64">
        <f t="shared" si="2"/>
        <v>100</v>
      </c>
    </row>
    <row r="193" spans="1:8" ht="36" hidden="1" outlineLevel="5">
      <c r="A193" s="45" t="str">
        <f>'Приложение 2'!A196</f>
        <v>Муниципальная программа "Развитие физической культуры и спорта в Алексеевском муниципальном районе на 2019-2023 годы"</v>
      </c>
      <c r="B193" s="72" t="str">
        <f>'Приложение 2'!C196</f>
        <v>0702</v>
      </c>
      <c r="C193" s="72" t="str">
        <f>'Приложение 2'!D196</f>
        <v>17</v>
      </c>
      <c r="D193" s="72">
        <f>'Приложение 2'!E196</f>
        <v>0</v>
      </c>
      <c r="E193" s="72"/>
      <c r="F193" s="58">
        <f>'Приложение 2'!G196</f>
        <v>0</v>
      </c>
      <c r="G193" s="58">
        <f>'Приложение 2'!H196</f>
        <v>0</v>
      </c>
      <c r="H193" s="64" t="e">
        <f t="shared" si="2"/>
        <v>#DIV/0!</v>
      </c>
    </row>
    <row r="194" spans="1:8" ht="84" hidden="1" outlineLevel="5">
      <c r="A194" s="45" t="str">
        <f>'Приложение 2'!A197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4" s="72" t="str">
        <f>'Приложение 2'!C197</f>
        <v>0702</v>
      </c>
      <c r="C194" s="72" t="str">
        <f>'Приложение 2'!D197</f>
        <v>17</v>
      </c>
      <c r="D194" s="72">
        <f>'Приложение 2'!E197</f>
        <v>0</v>
      </c>
      <c r="E194" s="72">
        <f>'Приложение 2'!F197</f>
        <v>600</v>
      </c>
      <c r="F194" s="58">
        <f>'Приложение 2'!G197</f>
        <v>0</v>
      </c>
      <c r="G194" s="58">
        <f>'Приложение 2'!H197</f>
        <v>0</v>
      </c>
      <c r="H194" s="64" t="e">
        <f t="shared" si="2"/>
        <v>#DIV/0!</v>
      </c>
    </row>
    <row r="195" spans="1:8" ht="84" hidden="1" outlineLevel="5">
      <c r="A195" s="45" t="str">
        <f>'Приложение 2'!A198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5" s="72" t="str">
        <f>'Приложение 2'!C198</f>
        <v>0702</v>
      </c>
      <c r="C195" s="72" t="str">
        <f>'Приложение 2'!D198</f>
        <v>17</v>
      </c>
      <c r="D195" s="72">
        <f>'Приложение 2'!E198</f>
        <v>0</v>
      </c>
      <c r="E195" s="72">
        <f>'Приложение 2'!F198</f>
        <v>600</v>
      </c>
      <c r="F195" s="58">
        <f>'Приложение 2'!G198</f>
        <v>0</v>
      </c>
      <c r="G195" s="58">
        <f>'Приложение 2'!H198</f>
        <v>0</v>
      </c>
      <c r="H195" s="64" t="e">
        <f t="shared" si="2"/>
        <v>#DIV/0!</v>
      </c>
    </row>
    <row r="196" spans="1:8" ht="96" outlineLevel="5">
      <c r="A196" s="45" t="str">
        <f>'Приложение 2'!A199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6" s="72" t="str">
        <f>'Приложение 2'!C199</f>
        <v>0702</v>
      </c>
      <c r="C196" s="72" t="str">
        <f>'Приложение 2'!D199</f>
        <v>22</v>
      </c>
      <c r="D196" s="72">
        <f>'Приложение 2'!E199</f>
        <v>0</v>
      </c>
      <c r="E196" s="72"/>
      <c r="F196" s="58">
        <f>'Приложение 2'!G199</f>
        <v>1179.67726</v>
      </c>
      <c r="G196" s="58">
        <f>'Приложение 2'!H199</f>
        <v>1179.67726</v>
      </c>
      <c r="H196" s="64">
        <f t="shared" si="2"/>
        <v>100</v>
      </c>
    </row>
    <row r="197" spans="1:8" ht="24" outlineLevel="5">
      <c r="A197" s="45" t="str">
        <f>'Приложение 2'!A200</f>
        <v>Закупка товаров, работ и услуг для государственных (муниципальных) нужд</v>
      </c>
      <c r="B197" s="72" t="str">
        <f>'Приложение 2'!C200</f>
        <v>0702</v>
      </c>
      <c r="C197" s="72" t="str">
        <f>'Приложение 2'!D200</f>
        <v>22</v>
      </c>
      <c r="D197" s="72">
        <f>'Приложение 2'!E200</f>
        <v>0</v>
      </c>
      <c r="E197" s="72">
        <f>'Приложение 2'!F200</f>
        <v>200</v>
      </c>
      <c r="F197" s="58">
        <f>'Приложение 2'!G200</f>
        <v>46.18948</v>
      </c>
      <c r="G197" s="58">
        <f>'Приложение 2'!H200</f>
        <v>46.18948</v>
      </c>
      <c r="H197" s="64">
        <f t="shared" si="2"/>
        <v>100</v>
      </c>
    </row>
    <row r="198" spans="1:8" ht="24" outlineLevel="5">
      <c r="A198" s="45" t="str">
        <f>'Приложение 2'!A201</f>
        <v>Предоставление субсидий бюджетным, автономным учреждениям и иным некоммерческим организациям</v>
      </c>
      <c r="B198" s="72" t="str">
        <f>'Приложение 2'!C201</f>
        <v>0702</v>
      </c>
      <c r="C198" s="72" t="str">
        <f>'Приложение 2'!D201</f>
        <v>22</v>
      </c>
      <c r="D198" s="72">
        <f>'Приложение 2'!E201</f>
        <v>0</v>
      </c>
      <c r="E198" s="72">
        <f>'Приложение 2'!F201</f>
        <v>600</v>
      </c>
      <c r="F198" s="58">
        <f>'Приложение 2'!G201</f>
        <v>1133.48778</v>
      </c>
      <c r="G198" s="58">
        <f>'Приложение 2'!H201</f>
        <v>1133.48778</v>
      </c>
      <c r="H198" s="64">
        <f t="shared" si="2"/>
        <v>100</v>
      </c>
    </row>
    <row r="199" spans="1:8" ht="36" outlineLevel="5">
      <c r="A199" s="45" t="str">
        <f>'Приложение 2'!A202</f>
        <v>Муниципальная программа "Развитие образования детей на территории Алексеевского муниципального района на 2023-2025 годы"</v>
      </c>
      <c r="B199" s="72" t="str">
        <f>'Приложение 2'!C202</f>
        <v>0702</v>
      </c>
      <c r="C199" s="72" t="str">
        <f>'Приложение 2'!D202</f>
        <v>53</v>
      </c>
      <c r="D199" s="72">
        <f>'Приложение 2'!E202</f>
        <v>0</v>
      </c>
      <c r="E199" s="72"/>
      <c r="F199" s="58">
        <f>'Приложение 2'!G202</f>
        <v>220245.61553000004</v>
      </c>
      <c r="G199" s="58">
        <f>'Приложение 2'!H202</f>
        <v>200327.51262999998</v>
      </c>
      <c r="H199" s="64">
        <f t="shared" si="2"/>
        <v>90.9564134332168</v>
      </c>
    </row>
    <row r="200" spans="1:8" ht="12.75" outlineLevel="5">
      <c r="A200" s="45" t="str">
        <f>'Приложение 2'!A203</f>
        <v>Подпрограмма "Развитие общего образования детей"</v>
      </c>
      <c r="B200" s="72" t="str">
        <f>'Приложение 2'!C203</f>
        <v>0702</v>
      </c>
      <c r="C200" s="72" t="str">
        <f>'Приложение 2'!D203</f>
        <v>53</v>
      </c>
      <c r="D200" s="72">
        <f>'Приложение 2'!E203</f>
        <v>2</v>
      </c>
      <c r="E200" s="72" t="s">
        <v>9</v>
      </c>
      <c r="F200" s="58">
        <f>'Приложение 2'!G203</f>
        <v>220245.61553000004</v>
      </c>
      <c r="G200" s="58">
        <f>'Приложение 2'!H203</f>
        <v>200327.51262999998</v>
      </c>
      <c r="H200" s="64">
        <f t="shared" si="2"/>
        <v>90.9564134332168</v>
      </c>
    </row>
    <row r="201" spans="1:8" ht="12.75" outlineLevel="5">
      <c r="A201" s="45" t="str">
        <f>'Приложение 2'!A204</f>
        <v>За счет средств бюджета муниципального района</v>
      </c>
      <c r="B201" s="72" t="str">
        <f>'Приложение 2'!C204</f>
        <v>0702</v>
      </c>
      <c r="C201" s="72" t="str">
        <f>'Приложение 2'!D204</f>
        <v>53</v>
      </c>
      <c r="D201" s="72">
        <f>'Приложение 2'!E204</f>
        <v>2</v>
      </c>
      <c r="E201" s="72" t="s">
        <v>9</v>
      </c>
      <c r="F201" s="58">
        <f>'Приложение 2'!G204</f>
        <v>23319.08885</v>
      </c>
      <c r="G201" s="58">
        <f>'Приложение 2'!H204</f>
        <v>21881.24959</v>
      </c>
      <c r="H201" s="64">
        <f t="shared" si="2"/>
        <v>93.83406757764465</v>
      </c>
    </row>
    <row r="202" spans="1:8" ht="48" outlineLevel="5">
      <c r="A202" s="45" t="str">
        <f>'Приложение 2'!A205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2" s="72" t="str">
        <f>'Приложение 2'!C205</f>
        <v>0702</v>
      </c>
      <c r="C202" s="72" t="str">
        <f>'Приложение 2'!D205</f>
        <v>53</v>
      </c>
      <c r="D202" s="72">
        <f>'Приложение 2'!E205</f>
        <v>2</v>
      </c>
      <c r="E202" s="72">
        <f>'Приложение 2'!F205</f>
        <v>100</v>
      </c>
      <c r="F202" s="58">
        <f>'Приложение 2'!G205</f>
        <v>0</v>
      </c>
      <c r="G202" s="58">
        <f>'Приложение 2'!H205</f>
        <v>0</v>
      </c>
      <c r="H202" s="64" t="e">
        <f aca="true" t="shared" si="3" ref="H202:H265">SUM(G202/F202)*100</f>
        <v>#DIV/0!</v>
      </c>
    </row>
    <row r="203" spans="1:8" ht="24" outlineLevel="5">
      <c r="A203" s="45" t="str">
        <f>'Приложение 2'!A206</f>
        <v>Закупка товаров, работ и услуг для государственных (муниципальных) нужд</v>
      </c>
      <c r="B203" s="72" t="str">
        <f>'Приложение 2'!C206</f>
        <v>0702</v>
      </c>
      <c r="C203" s="72" t="str">
        <f>'Приложение 2'!D206</f>
        <v>53</v>
      </c>
      <c r="D203" s="72">
        <f>'Приложение 2'!E206</f>
        <v>2</v>
      </c>
      <c r="E203" s="72">
        <f>'Приложение 2'!F206</f>
        <v>200</v>
      </c>
      <c r="F203" s="58">
        <f>'Приложение 2'!G206</f>
        <v>564.5304699999999</v>
      </c>
      <c r="G203" s="58">
        <f>'Приложение 2'!H206</f>
        <v>376.40515</v>
      </c>
      <c r="H203" s="64">
        <f t="shared" si="3"/>
        <v>66.67578988251954</v>
      </c>
    </row>
    <row r="204" spans="1:8" ht="48" outlineLevel="5">
      <c r="A204" s="45" t="str">
        <f>'Приложение 2'!A207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72" t="str">
        <f>'Приложение 2'!C207</f>
        <v>0702</v>
      </c>
      <c r="C204" s="72" t="str">
        <f>'Приложение 2'!D207</f>
        <v>53</v>
      </c>
      <c r="D204" s="72">
        <f>'Приложение 2'!E207</f>
        <v>2</v>
      </c>
      <c r="E204" s="72">
        <f>'Приложение 2'!F207</f>
        <v>200</v>
      </c>
      <c r="F204" s="58">
        <f>'Приложение 2'!G207</f>
        <v>32.156369999999995</v>
      </c>
      <c r="G204" s="58">
        <f>'Приложение 2'!H207</f>
        <v>32.156369999999995</v>
      </c>
      <c r="H204" s="64">
        <f t="shared" si="3"/>
        <v>100</v>
      </c>
    </row>
    <row r="205" spans="1:8" ht="48" outlineLevel="5">
      <c r="A205" s="45" t="str">
        <f>'Приложение 2'!A207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5" s="72" t="str">
        <f>'Приложение 2'!C207</f>
        <v>0702</v>
      </c>
      <c r="C205" s="72" t="str">
        <f>'Приложение 2'!D207</f>
        <v>53</v>
      </c>
      <c r="D205" s="72">
        <f>'Приложение 2'!E207</f>
        <v>2</v>
      </c>
      <c r="E205" s="72" t="s">
        <v>144</v>
      </c>
      <c r="F205" s="58">
        <f>'Приложение 2'!G207</f>
        <v>32.156369999999995</v>
      </c>
      <c r="G205" s="58">
        <f>'Приложение 2'!H207</f>
        <v>32.156369999999995</v>
      </c>
      <c r="H205" s="64">
        <f t="shared" si="3"/>
        <v>100</v>
      </c>
    </row>
    <row r="206" spans="1:8" ht="12.75" outlineLevel="5">
      <c r="A206" s="45" t="str">
        <f>'Приложение 2'!A208</f>
        <v>Иные бюджетные ассигнования</v>
      </c>
      <c r="B206" s="72" t="str">
        <f>'Приложение 2'!C208</f>
        <v>0702</v>
      </c>
      <c r="C206" s="72" t="str">
        <f>'Приложение 2'!D208</f>
        <v>53</v>
      </c>
      <c r="D206" s="72">
        <f>'Приложение 2'!E208</f>
        <v>2</v>
      </c>
      <c r="E206" s="72">
        <f>'Приложение 2'!F208</f>
        <v>800</v>
      </c>
      <c r="F206" s="58">
        <f>'Приложение 2'!G208</f>
        <v>26.37789</v>
      </c>
      <c r="G206" s="58">
        <f>'Приложение 2'!H208</f>
        <v>26.37789</v>
      </c>
      <c r="H206" s="64">
        <f t="shared" si="3"/>
        <v>100</v>
      </c>
    </row>
    <row r="207" spans="1:8" ht="26.25" customHeight="1" outlineLevel="5">
      <c r="A207" s="45" t="str">
        <f>'Приложение 2'!A209</f>
        <v>Предоставление субсидий бюджетным, автономным учреждениям и иным некоммерческим организациям</v>
      </c>
      <c r="B207" s="72" t="str">
        <f>'Приложение 2'!C209</f>
        <v>0702</v>
      </c>
      <c r="C207" s="72" t="str">
        <f>'Приложение 2'!D209</f>
        <v>53</v>
      </c>
      <c r="D207" s="72">
        <f>'Приложение 2'!E209</f>
        <v>2</v>
      </c>
      <c r="E207" s="72">
        <f>'Приложение 2'!F209</f>
        <v>600</v>
      </c>
      <c r="F207" s="58">
        <f>'Приложение 2'!G209</f>
        <v>20658.77059</v>
      </c>
      <c r="G207" s="58">
        <f>'Приложение 2'!H209</f>
        <v>19409.69301</v>
      </c>
      <c r="H207" s="64">
        <f t="shared" si="3"/>
        <v>93.95376615196732</v>
      </c>
    </row>
    <row r="208" spans="1:8" ht="37.5" customHeight="1" outlineLevel="5">
      <c r="A208" s="45" t="str">
        <f>'Приложение 2'!A210</f>
        <v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v>
      </c>
      <c r="B208" s="72" t="str">
        <f>'Приложение 2'!C210</f>
        <v>0702</v>
      </c>
      <c r="C208" s="72" t="str">
        <f>'Приложение 2'!D210</f>
        <v>53</v>
      </c>
      <c r="D208" s="72">
        <f>'Приложение 2'!E210</f>
        <v>2</v>
      </c>
      <c r="E208" s="72">
        <f>'Приложение 2'!F210</f>
        <v>600</v>
      </c>
      <c r="F208" s="58">
        <f>'Приложение 2'!G210</f>
        <v>15</v>
      </c>
      <c r="G208" s="58">
        <f>'Приложение 2'!H210</f>
        <v>14.36364</v>
      </c>
      <c r="H208" s="64">
        <f t="shared" si="3"/>
        <v>95.7576</v>
      </c>
    </row>
    <row r="209" spans="1:8" ht="26.25" customHeight="1" outlineLevel="5">
      <c r="A209" s="45" t="str">
        <f>'Приложение 2'!A211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9" s="72" t="str">
        <f>'Приложение 2'!C211</f>
        <v>0702</v>
      </c>
      <c r="C209" s="72" t="str">
        <f>'Приложение 2'!D211</f>
        <v>53</v>
      </c>
      <c r="D209" s="72">
        <f>'Приложение 2'!E211</f>
        <v>2</v>
      </c>
      <c r="E209" s="72">
        <f>'Приложение 2'!F211</f>
        <v>600</v>
      </c>
      <c r="F209" s="58">
        <f>'Приложение 2'!G211</f>
        <v>2022.2535300000002</v>
      </c>
      <c r="G209" s="58">
        <f>'Приложение 2'!H211</f>
        <v>2022.2535300000002</v>
      </c>
      <c r="H209" s="64">
        <f t="shared" si="3"/>
        <v>100</v>
      </c>
    </row>
    <row r="210" spans="1:8" ht="12.75" outlineLevel="5">
      <c r="A210" s="45" t="str">
        <f>'Приложение 2'!A212</f>
        <v>За счет средств областного бюджета </v>
      </c>
      <c r="B210" s="72" t="str">
        <f>'Приложение 2'!C212</f>
        <v>0702</v>
      </c>
      <c r="C210" s="72" t="str">
        <f>'Приложение 2'!D212</f>
        <v>53</v>
      </c>
      <c r="D210" s="72">
        <f>'Приложение 2'!E212</f>
        <v>2</v>
      </c>
      <c r="E210" s="72" t="s">
        <v>9</v>
      </c>
      <c r="F210" s="58">
        <f>'Приложение 2'!G212</f>
        <v>196926.52668000004</v>
      </c>
      <c r="G210" s="58">
        <f>'Приложение 2'!H212</f>
        <v>178446.26304</v>
      </c>
      <c r="H210" s="64">
        <f t="shared" si="3"/>
        <v>90.61565551804509</v>
      </c>
    </row>
    <row r="211" spans="1:8" ht="38.25" customHeight="1" outlineLevel="5">
      <c r="A211" s="45" t="str">
        <f>'Приложение 2'!A213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1" s="72" t="str">
        <f>'Приложение 2'!C213</f>
        <v>0702</v>
      </c>
      <c r="C211" s="72" t="str">
        <f>'Приложение 2'!D213</f>
        <v>53</v>
      </c>
      <c r="D211" s="72">
        <f>'Приложение 2'!E213</f>
        <v>2</v>
      </c>
      <c r="E211" s="72">
        <f>'Приложение 2'!F213</f>
        <v>100</v>
      </c>
      <c r="F211" s="58">
        <f>'Приложение 2'!G213</f>
        <v>5937.000000000001</v>
      </c>
      <c r="G211" s="58">
        <f>'Приложение 2'!H213</f>
        <v>4938.17588</v>
      </c>
      <c r="H211" s="64">
        <f t="shared" si="3"/>
        <v>83.17628229745662</v>
      </c>
    </row>
    <row r="212" spans="1:8" ht="4.5" customHeight="1" hidden="1" outlineLevel="5">
      <c r="A212" s="45" t="str">
        <f>'Приложение 2'!A214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12" s="72" t="str">
        <f>'Приложение 2'!C214</f>
        <v>0702</v>
      </c>
      <c r="C212" s="72" t="str">
        <f>'Приложение 2'!D214</f>
        <v>53</v>
      </c>
      <c r="D212" s="72">
        <f>'Приложение 2'!E214</f>
        <v>2</v>
      </c>
      <c r="E212" s="72">
        <f>'Приложение 2'!F214</f>
        <v>100</v>
      </c>
      <c r="F212" s="58">
        <f>'Приложение 2'!G214</f>
        <v>0</v>
      </c>
      <c r="G212" s="58">
        <f>'Приложение 2'!H214</f>
        <v>0</v>
      </c>
      <c r="H212" s="64" t="e">
        <f t="shared" si="3"/>
        <v>#DIV/0!</v>
      </c>
    </row>
    <row r="213" spans="1:8" ht="36" outlineLevel="5">
      <c r="A213" s="45" t="str">
        <f>'Приложение 2'!A215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3" s="72" t="str">
        <f>'Приложение 2'!C215</f>
        <v>0702</v>
      </c>
      <c r="C213" s="72" t="str">
        <f>'Приложение 2'!D215</f>
        <v>53</v>
      </c>
      <c r="D213" s="72">
        <f>'Приложение 2'!E215</f>
        <v>2</v>
      </c>
      <c r="E213" s="72">
        <f>'Приложение 2'!F215</f>
        <v>100</v>
      </c>
      <c r="F213" s="58">
        <f>'Приложение 2'!G215</f>
        <v>599.6627599999999</v>
      </c>
      <c r="G213" s="58">
        <f>'Приложение 2'!H215</f>
        <v>599.6627599999999</v>
      </c>
      <c r="H213" s="64">
        <f t="shared" si="3"/>
        <v>100</v>
      </c>
    </row>
    <row r="214" spans="1:8" ht="27" customHeight="1" outlineLevel="5">
      <c r="A214" s="45" t="str">
        <f>'Приложение 2'!A216</f>
        <v>Закупка товаров, работ и услуг для государственных (муниципальных) нужд</v>
      </c>
      <c r="B214" s="72" t="str">
        <f>'Приложение 2'!C216</f>
        <v>0702</v>
      </c>
      <c r="C214" s="72" t="str">
        <f>'Приложение 2'!D216</f>
        <v>53</v>
      </c>
      <c r="D214" s="72">
        <f>'Приложение 2'!E216</f>
        <v>2</v>
      </c>
      <c r="E214" s="72">
        <f>'Приложение 2'!F216</f>
        <v>200</v>
      </c>
      <c r="F214" s="58">
        <f>'Приложение 2'!G216</f>
        <v>120</v>
      </c>
      <c r="G214" s="58">
        <f>'Приложение 2'!H216</f>
        <v>120</v>
      </c>
      <c r="H214" s="64">
        <f t="shared" si="3"/>
        <v>100</v>
      </c>
    </row>
    <row r="215" spans="1:8" ht="17.25" customHeight="1" outlineLevel="5">
      <c r="A215" s="45" t="str">
        <f>'Приложение 2'!A217</f>
        <v>За счет средств областного бюджета на питание</v>
      </c>
      <c r="B215" s="72" t="str">
        <f>'Приложение 2'!C217</f>
        <v>0702</v>
      </c>
      <c r="C215" s="72" t="str">
        <f>'Приложение 2'!D217</f>
        <v>53</v>
      </c>
      <c r="D215" s="72">
        <f>'Приложение 2'!E217</f>
        <v>2</v>
      </c>
      <c r="E215" s="72">
        <f>'Приложение 2'!F217</f>
        <v>200</v>
      </c>
      <c r="F215" s="58">
        <f>'Приложение 2'!G217</f>
        <v>77.10940000000001</v>
      </c>
      <c r="G215" s="58">
        <f>'Приложение 2'!H217</f>
        <v>69.16901</v>
      </c>
      <c r="H215" s="64">
        <f t="shared" si="3"/>
        <v>89.70243576010188</v>
      </c>
    </row>
    <row r="216" spans="1:8" ht="24.75" customHeight="1" outlineLevel="5">
      <c r="A216" s="45" t="str">
        <f>'Приложение 2'!A218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6" s="72" t="str">
        <f>'Приложение 2'!C218</f>
        <v>0702</v>
      </c>
      <c r="C216" s="72" t="str">
        <f>'Приложение 2'!D218</f>
        <v>53</v>
      </c>
      <c r="D216" s="72">
        <f>'Приложение 2'!E218</f>
        <v>2</v>
      </c>
      <c r="E216" s="72">
        <f>'Приложение 2'!F218</f>
        <v>200</v>
      </c>
      <c r="F216" s="58">
        <f>'Приложение 2'!G218</f>
        <v>98.66697</v>
      </c>
      <c r="G216" s="58">
        <f>'Приложение 2'!H218</f>
        <v>98.66697</v>
      </c>
      <c r="H216" s="64">
        <f t="shared" si="3"/>
        <v>100</v>
      </c>
    </row>
    <row r="217" spans="1:8" ht="60" outlineLevel="5">
      <c r="A217" s="45" t="str">
        <f>'Приложение 2'!A219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7" s="72" t="str">
        <f>'Приложение 2'!C219</f>
        <v>0702</v>
      </c>
      <c r="C217" s="72" t="str">
        <f>'Приложение 2'!D219</f>
        <v>53</v>
      </c>
      <c r="D217" s="72">
        <f>'Приложение 2'!E219</f>
        <v>2</v>
      </c>
      <c r="E217" s="72">
        <f>'Приложение 2'!F219</f>
        <v>600</v>
      </c>
      <c r="F217" s="58">
        <f>'Приложение 2'!G219</f>
        <v>6204.97805</v>
      </c>
      <c r="G217" s="58">
        <f>'Приложение 2'!H219</f>
        <v>6204.97805</v>
      </c>
      <c r="H217" s="64">
        <f t="shared" si="3"/>
        <v>100</v>
      </c>
    </row>
    <row r="218" spans="1:8" ht="24" outlineLevel="5">
      <c r="A218" s="45" t="str">
        <f>'Приложение 2'!A220</f>
        <v>За счет средств областного бюджета на образовательный процесс</v>
      </c>
      <c r="B218" s="72" t="str">
        <f>'Приложение 2'!C220</f>
        <v>0702</v>
      </c>
      <c r="C218" s="72" t="str">
        <f>'Приложение 2'!D220</f>
        <v>53</v>
      </c>
      <c r="D218" s="72">
        <f>'Приложение 2'!E220</f>
        <v>2</v>
      </c>
      <c r="E218" s="72">
        <f>'Приложение 2'!F220</f>
        <v>600</v>
      </c>
      <c r="F218" s="58">
        <f>'Приложение 2'!G220</f>
        <v>164332.90000000002</v>
      </c>
      <c r="G218" s="58">
        <f>'Приложение 2'!H220</f>
        <v>147013.02412</v>
      </c>
      <c r="H218" s="64">
        <f t="shared" si="3"/>
        <v>89.4604939850754</v>
      </c>
    </row>
    <row r="219" spans="1:8" ht="36" outlineLevel="5">
      <c r="A219" s="45" t="str">
        <f>'Приложение 2'!A221</f>
        <v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v>
      </c>
      <c r="B219" s="72" t="str">
        <f>'Приложение 2'!C221</f>
        <v>0702</v>
      </c>
      <c r="C219" s="72" t="str">
        <f>'Приложение 2'!D221</f>
        <v>53</v>
      </c>
      <c r="D219" s="72">
        <f>'Приложение 2'!E221</f>
        <v>2</v>
      </c>
      <c r="E219" s="72">
        <f>'Приложение 2'!F221</f>
        <v>600</v>
      </c>
      <c r="F219" s="58">
        <f>'Приложение 2'!G221</f>
        <v>0</v>
      </c>
      <c r="G219" s="58">
        <f>'Приложение 2'!H221</f>
        <v>0</v>
      </c>
      <c r="H219" s="64" t="e">
        <f t="shared" si="3"/>
        <v>#DIV/0!</v>
      </c>
    </row>
    <row r="220" spans="1:8" ht="36" outlineLevel="5">
      <c r="A220" s="45" t="str">
        <f>'Приложение 2'!A222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20" s="72" t="str">
        <f>'Приложение 2'!C222</f>
        <v>0702</v>
      </c>
      <c r="C220" s="72" t="str">
        <f>'Приложение 2'!D222</f>
        <v>53</v>
      </c>
      <c r="D220" s="72">
        <f>'Приложение 2'!E222</f>
        <v>2</v>
      </c>
      <c r="E220" s="72">
        <f>'Приложение 2'!F222</f>
        <v>600</v>
      </c>
      <c r="F220" s="58">
        <f>'Приложение 2'!G222</f>
        <v>14271.287240000001</v>
      </c>
      <c r="G220" s="58">
        <f>'Приложение 2'!H222</f>
        <v>14271.287240000001</v>
      </c>
      <c r="H220" s="64">
        <f t="shared" si="3"/>
        <v>100</v>
      </c>
    </row>
    <row r="221" spans="1:8" ht="12.75" outlineLevel="5">
      <c r="A221" s="45" t="str">
        <f>'Приложение 2'!A223</f>
        <v>За счет средств областного бюджета на питание</v>
      </c>
      <c r="B221" s="72" t="str">
        <f>'Приложение 2'!C223</f>
        <v>0702</v>
      </c>
      <c r="C221" s="72" t="str">
        <f>'Приложение 2'!D223</f>
        <v>53</v>
      </c>
      <c r="D221" s="72">
        <f>'Приложение 2'!E223</f>
        <v>2</v>
      </c>
      <c r="E221" s="72">
        <f>'Приложение 2'!F223</f>
        <v>600</v>
      </c>
      <c r="F221" s="58">
        <f>'Приложение 2'!G223</f>
        <v>5022.8906</v>
      </c>
      <c r="G221" s="58">
        <f>'Приложение 2'!H223</f>
        <v>4870.83099</v>
      </c>
      <c r="H221" s="64">
        <f t="shared" si="3"/>
        <v>96.97266729241527</v>
      </c>
    </row>
    <row r="222" spans="1:8" ht="39" customHeight="1" outlineLevel="5">
      <c r="A222" s="45" t="str">
        <f>'Приложение 2'!A224</f>
        <v>Предоставление субсидий бюджетным, автономным учреждениям и иным некоммерческим организациям (Школа детского инициативного бюджетирования)</v>
      </c>
      <c r="B222" s="72" t="str">
        <f>'Приложение 2'!C224</f>
        <v>0702</v>
      </c>
      <c r="C222" s="72" t="str">
        <f>'Приложение 2'!D224</f>
        <v>53</v>
      </c>
      <c r="D222" s="72">
        <f>'Приложение 2'!E224</f>
        <v>2</v>
      </c>
      <c r="E222" s="72">
        <f>'Приложение 2'!F224</f>
        <v>600</v>
      </c>
      <c r="F222" s="58">
        <f>'Приложение 2'!G224</f>
        <v>150</v>
      </c>
      <c r="G222" s="58">
        <f>'Приложение 2'!H224</f>
        <v>148.43636</v>
      </c>
      <c r="H222" s="64">
        <f t="shared" si="3"/>
        <v>98.95757333333334</v>
      </c>
    </row>
    <row r="223" spans="1:8" ht="24" outlineLevel="5">
      <c r="A223" s="45" t="str">
        <f>'Приложение 2'!A225</f>
        <v>За счет средств на расходы на осуществление социальных гарантий молодым специалистам</v>
      </c>
      <c r="B223" s="72" t="str">
        <f>'Приложение 2'!C225</f>
        <v>0702</v>
      </c>
      <c r="C223" s="72" t="str">
        <f>'Приложение 2'!D225</f>
        <v>53</v>
      </c>
      <c r="D223" s="72">
        <f>'Приложение 2'!E225</f>
        <v>2</v>
      </c>
      <c r="E223" s="72">
        <f>'Приложение 2'!F225</f>
        <v>600</v>
      </c>
      <c r="F223" s="58">
        <f>'Приложение 2'!G225</f>
        <v>112.03166</v>
      </c>
      <c r="G223" s="58">
        <f>'Приложение 2'!H225</f>
        <v>112.03166</v>
      </c>
      <c r="H223" s="64">
        <f t="shared" si="3"/>
        <v>100</v>
      </c>
    </row>
    <row r="224" spans="1:8" ht="14.25" customHeight="1" outlineLevel="5">
      <c r="A224" s="45" t="str">
        <f>'Приложение 2'!A226</f>
        <v>Дополнительное образование детей</v>
      </c>
      <c r="B224" s="72" t="str">
        <f>'Приложение 2'!C226</f>
        <v>0703</v>
      </c>
      <c r="C224" s="72"/>
      <c r="D224" s="72"/>
      <c r="E224" s="72"/>
      <c r="F224" s="58">
        <f>'Приложение 2'!G226</f>
        <v>11531.284870000001</v>
      </c>
      <c r="G224" s="58">
        <f>'Приложение 2'!H226</f>
        <v>11301.91122</v>
      </c>
      <c r="H224" s="64">
        <f t="shared" si="3"/>
        <v>98.01085783079782</v>
      </c>
    </row>
    <row r="225" spans="1:8" ht="2.25" customHeight="1" hidden="1" outlineLevel="5">
      <c r="A225" s="45" t="str">
        <f>'Приложение 2'!A227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25" s="72" t="str">
        <f>'Приложение 2'!C227</f>
        <v>0703</v>
      </c>
      <c r="C225" s="72" t="str">
        <f>'Приложение 2'!D227</f>
        <v>02</v>
      </c>
      <c r="D225" s="72">
        <f>'Приложение 2'!E227</f>
        <v>0</v>
      </c>
      <c r="E225" s="72"/>
      <c r="F225" s="58">
        <f>'Приложение 2'!G227</f>
        <v>0</v>
      </c>
      <c r="G225" s="58">
        <f>'Приложение 2'!H227</f>
        <v>0</v>
      </c>
      <c r="H225" s="64" t="e">
        <f t="shared" si="3"/>
        <v>#DIV/0!</v>
      </c>
    </row>
    <row r="226" spans="1:8" ht="42" customHeight="1" hidden="1" outlineLevel="5">
      <c r="A226" s="45" t="str">
        <f>'Приложение 2'!A228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6" s="72" t="str">
        <f>'Приложение 2'!C228</f>
        <v>0703</v>
      </c>
      <c r="C226" s="72" t="str">
        <f>'Приложение 2'!D228</f>
        <v>02</v>
      </c>
      <c r="D226" s="72">
        <f>'Приложение 2'!E228</f>
        <v>3</v>
      </c>
      <c r="E226" s="72"/>
      <c r="F226" s="58">
        <f>'Приложение 2'!G228</f>
        <v>0</v>
      </c>
      <c r="G226" s="58">
        <f>'Приложение 2'!H228</f>
        <v>0</v>
      </c>
      <c r="H226" s="64" t="e">
        <f t="shared" si="3"/>
        <v>#DIV/0!</v>
      </c>
    </row>
    <row r="227" spans="1:8" ht="24" hidden="1" outlineLevel="5">
      <c r="A227" s="45" t="str">
        <f>'Приложение 2'!A229</f>
        <v>Предоставление субсидий бюджетным, автономным учреждениям и иным некоммерческим организациям</v>
      </c>
      <c r="B227" s="72" t="str">
        <f>'Приложение 2'!C229</f>
        <v>0703</v>
      </c>
      <c r="C227" s="72" t="str">
        <f>'Приложение 2'!D229</f>
        <v>02</v>
      </c>
      <c r="D227" s="72">
        <f>'Приложение 2'!E229</f>
        <v>3</v>
      </c>
      <c r="E227" s="72">
        <f>'Приложение 2'!F229</f>
        <v>600</v>
      </c>
      <c r="F227" s="58">
        <f>'Приложение 2'!G229</f>
        <v>0</v>
      </c>
      <c r="G227" s="58">
        <f>'Приложение 2'!H229</f>
        <v>0</v>
      </c>
      <c r="H227" s="64" t="e">
        <f t="shared" si="3"/>
        <v>#DIV/0!</v>
      </c>
    </row>
    <row r="228" spans="1:8" ht="37.5" customHeight="1" outlineLevel="5">
      <c r="A228" s="45" t="str">
        <f>'Приложение 2'!A230</f>
        <v>Муниципальная программа "Развитие образования детей на территории Алексеевского муниципального района на 2023-2025 годы"</v>
      </c>
      <c r="B228" s="72" t="str">
        <f>'Приложение 2'!C230</f>
        <v>0703</v>
      </c>
      <c r="C228" s="72" t="str">
        <f>'Приложение 2'!D230</f>
        <v>53</v>
      </c>
      <c r="D228" s="72">
        <f>'Приложение 2'!E230</f>
        <v>0</v>
      </c>
      <c r="E228" s="72"/>
      <c r="F228" s="58">
        <f>'Приложение 2'!G230</f>
        <v>11531.284870000001</v>
      </c>
      <c r="G228" s="58">
        <f>'Приложение 2'!H230</f>
        <v>11301.91122</v>
      </c>
      <c r="H228" s="64">
        <f t="shared" si="3"/>
        <v>98.01085783079782</v>
      </c>
    </row>
    <row r="229" spans="1:8" ht="15" customHeight="1" outlineLevel="5">
      <c r="A229" s="45" t="str">
        <f>'Приложение 2'!A231</f>
        <v>Подпрограмма "Развитие дополнительного образования детей"</v>
      </c>
      <c r="B229" s="72" t="str">
        <f>'Приложение 2'!C231</f>
        <v>0703</v>
      </c>
      <c r="C229" s="72" t="str">
        <f>'Приложение 2'!D231</f>
        <v>53</v>
      </c>
      <c r="D229" s="72">
        <f>'Приложение 2'!E231</f>
        <v>3</v>
      </c>
      <c r="E229" s="72" t="s">
        <v>9</v>
      </c>
      <c r="F229" s="58">
        <f>'Приложение 2'!G231</f>
        <v>11531.284870000001</v>
      </c>
      <c r="G229" s="58">
        <f>'Приложение 2'!H231</f>
        <v>11301.91122</v>
      </c>
      <c r="H229" s="64">
        <f t="shared" si="3"/>
        <v>98.01085783079782</v>
      </c>
    </row>
    <row r="230" spans="1:8" ht="24" outlineLevel="5">
      <c r="A230" s="45" t="str">
        <f>'Приложение 2'!A232</f>
        <v>Предоставление субсидий бюджетным, автономным учреждениям и иным некоммерческим организациям (ДШИ)</v>
      </c>
      <c r="B230" s="72" t="str">
        <f>'Приложение 2'!C232</f>
        <v>0703</v>
      </c>
      <c r="C230" s="72" t="str">
        <f>'Приложение 2'!D232</f>
        <v>53</v>
      </c>
      <c r="D230" s="72">
        <f>'Приложение 2'!E232</f>
        <v>3</v>
      </c>
      <c r="E230" s="72">
        <f>'Приложение 2'!F232</f>
        <v>600</v>
      </c>
      <c r="F230" s="58">
        <f>'Приложение 2'!G232</f>
        <v>5726.65266</v>
      </c>
      <c r="G230" s="58">
        <f>'Приложение 2'!H232</f>
        <v>5626.10974</v>
      </c>
      <c r="H230" s="64">
        <f t="shared" si="3"/>
        <v>98.24429861614831</v>
      </c>
    </row>
    <row r="231" spans="1:8" ht="26.25" customHeight="1" outlineLevel="5">
      <c r="A231" s="45" t="str">
        <f>'Приложение 2'!A233</f>
        <v>Предоставление субсидий бюджетным, автономным учреждениям и иным некоммерческим организациям (ДЮСШ)</v>
      </c>
      <c r="B231" s="72" t="str">
        <f>'Приложение 2'!C233</f>
        <v>0703</v>
      </c>
      <c r="C231" s="72" t="str">
        <f>'Приложение 2'!D233</f>
        <v>53</v>
      </c>
      <c r="D231" s="72">
        <f>'Приложение 2'!E233</f>
        <v>3</v>
      </c>
      <c r="E231" s="72">
        <f>'Приложение 2'!F233</f>
        <v>600</v>
      </c>
      <c r="F231" s="58">
        <f>'Приложение 2'!G233</f>
        <v>5779.41543</v>
      </c>
      <c r="G231" s="58">
        <f>'Приложение 2'!H233</f>
        <v>5650.5847</v>
      </c>
      <c r="H231" s="64">
        <f t="shared" si="3"/>
        <v>97.77086918979279</v>
      </c>
    </row>
    <row r="232" spans="1:8" ht="26.25" customHeight="1" outlineLevel="5">
      <c r="A232" s="45" t="str">
        <f>'Приложение 2'!A234</f>
        <v>За счет средств на расходы на осуществление социальных гарантий молодым специалистам</v>
      </c>
      <c r="B232" s="72" t="str">
        <f>'Приложение 2'!C234</f>
        <v>0703</v>
      </c>
      <c r="C232" s="72" t="str">
        <f>'Приложение 2'!D234</f>
        <v>53</v>
      </c>
      <c r="D232" s="72">
        <f>'Приложение 2'!E234</f>
        <v>3</v>
      </c>
      <c r="E232" s="72">
        <f>'Приложение 2'!F234</f>
        <v>600</v>
      </c>
      <c r="F232" s="58">
        <f>'Приложение 2'!G234</f>
        <v>25.21678</v>
      </c>
      <c r="G232" s="58">
        <f>'Приложение 2'!H234</f>
        <v>25.21678</v>
      </c>
      <c r="H232" s="64">
        <f t="shared" si="3"/>
        <v>100</v>
      </c>
    </row>
    <row r="233" spans="1:8" ht="12.75" outlineLevel="5">
      <c r="A233" s="45" t="str">
        <f>'Приложение 2'!A235</f>
        <v>Молодежная политика </v>
      </c>
      <c r="B233" s="72" t="str">
        <f>'Приложение 2'!C235</f>
        <v>0707</v>
      </c>
      <c r="C233" s="72">
        <f>'Приложение 2'!D235</f>
      </c>
      <c r="D233" s="72">
        <f>'Приложение 2'!E235</f>
      </c>
      <c r="E233" s="72"/>
      <c r="F233" s="58">
        <f>'Приложение 2'!G235</f>
        <v>4844.24205</v>
      </c>
      <c r="G233" s="58">
        <f>'Приложение 2'!H235</f>
        <v>4844.24205</v>
      </c>
      <c r="H233" s="64">
        <f t="shared" si="3"/>
        <v>100</v>
      </c>
    </row>
    <row r="234" spans="1:8" ht="66" customHeight="1" outlineLevel="5">
      <c r="A234" s="45" t="str">
        <f>'Приложение 2'!A236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34" s="72" t="str">
        <f>'Приложение 2'!C236</f>
        <v>0707</v>
      </c>
      <c r="C234" s="72" t="str">
        <f>'Приложение 2'!D236</f>
        <v>07</v>
      </c>
      <c r="D234" s="72">
        <f>'Приложение 2'!E236</f>
        <v>0</v>
      </c>
      <c r="E234" s="72"/>
      <c r="F234" s="58">
        <f>'Приложение 2'!G236</f>
        <v>60</v>
      </c>
      <c r="G234" s="58">
        <f>'Приложение 2'!H236</f>
        <v>60</v>
      </c>
      <c r="H234" s="64">
        <f t="shared" si="3"/>
        <v>100</v>
      </c>
    </row>
    <row r="235" spans="1:8" ht="24" outlineLevel="5">
      <c r="A235" s="45" t="str">
        <f>'Приложение 2'!A237</f>
        <v>Подпрограмма "Комплексные меры по противодействию наркомании"</v>
      </c>
      <c r="B235" s="72" t="str">
        <f>'Приложение 2'!C237</f>
        <v>0707</v>
      </c>
      <c r="C235" s="72" t="str">
        <f>'Приложение 2'!D237</f>
        <v>07</v>
      </c>
      <c r="D235" s="72">
        <f>'Приложение 2'!E237</f>
        <v>1</v>
      </c>
      <c r="E235" s="72"/>
      <c r="F235" s="58">
        <f>'Приложение 2'!G237</f>
        <v>20</v>
      </c>
      <c r="G235" s="58">
        <f>'Приложение 2'!H237</f>
        <v>20</v>
      </c>
      <c r="H235" s="64">
        <f t="shared" si="3"/>
        <v>100</v>
      </c>
    </row>
    <row r="236" spans="1:8" ht="27" customHeight="1" outlineLevel="5">
      <c r="A236" s="45" t="str">
        <f>'Приложение 2'!A238</f>
        <v>Закупка товаров, работ и услуг для государственных (муниципальных) нужд</v>
      </c>
      <c r="B236" s="72" t="str">
        <f>'Приложение 2'!C238</f>
        <v>0707</v>
      </c>
      <c r="C236" s="72" t="str">
        <f>'Приложение 2'!D238</f>
        <v>07</v>
      </c>
      <c r="D236" s="72">
        <f>'Приложение 2'!E238</f>
        <v>1</v>
      </c>
      <c r="E236" s="72">
        <f>'Приложение 2'!F238</f>
        <v>200</v>
      </c>
      <c r="F236" s="58">
        <f>'Приложение 2'!G238</f>
        <v>20</v>
      </c>
      <c r="G236" s="58">
        <f>'Приложение 2'!H238</f>
        <v>20</v>
      </c>
      <c r="H236" s="64">
        <f t="shared" si="3"/>
        <v>100</v>
      </c>
    </row>
    <row r="237" spans="1:8" ht="27.75" customHeight="1" outlineLevel="5">
      <c r="A237" s="45" t="str">
        <f>'Приложение 2'!A239</f>
        <v>Подпрограмма "Реализация мероприятий молодежной политики и социальной адаптации молодежи "</v>
      </c>
      <c r="B237" s="72" t="str">
        <f>'Приложение 2'!C239</f>
        <v>0707</v>
      </c>
      <c r="C237" s="72" t="str">
        <f>'Приложение 2'!D239</f>
        <v>07</v>
      </c>
      <c r="D237" s="72">
        <f>'Приложение 2'!E239</f>
        <v>2</v>
      </c>
      <c r="E237" s="72"/>
      <c r="F237" s="58">
        <f>'Приложение 2'!G239</f>
        <v>30</v>
      </c>
      <c r="G237" s="58">
        <f>'Приложение 2'!H239</f>
        <v>30</v>
      </c>
      <c r="H237" s="64">
        <f t="shared" si="3"/>
        <v>100</v>
      </c>
    </row>
    <row r="238" spans="1:8" ht="22.5" customHeight="1" outlineLevel="5">
      <c r="A238" s="45" t="str">
        <f>'Приложение 2'!A240</f>
        <v>Закупка товаров, работ и услуг для государственных (муниципальных) нужд</v>
      </c>
      <c r="B238" s="72" t="str">
        <f>'Приложение 2'!C240</f>
        <v>0707</v>
      </c>
      <c r="C238" s="72" t="str">
        <f>'Приложение 2'!D240</f>
        <v>07</v>
      </c>
      <c r="D238" s="72">
        <f>'Приложение 2'!E240</f>
        <v>2</v>
      </c>
      <c r="E238" s="72">
        <f>'Приложение 2'!F240</f>
        <v>200</v>
      </c>
      <c r="F238" s="58">
        <f>'Приложение 2'!G240</f>
        <v>30</v>
      </c>
      <c r="G238" s="58">
        <f>'Приложение 2'!H240</f>
        <v>30</v>
      </c>
      <c r="H238" s="64">
        <f t="shared" si="3"/>
        <v>100</v>
      </c>
    </row>
    <row r="239" spans="1:8" ht="73.5" customHeight="1" hidden="1" outlineLevel="5">
      <c r="A239" s="45" t="str">
        <f>'Приложение 2'!A241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39" s="72" t="str">
        <f>'Приложение 2'!C241</f>
        <v>0707</v>
      </c>
      <c r="C239" s="72" t="str">
        <f>'Приложение 2'!D241</f>
        <v>07</v>
      </c>
      <c r="D239" s="72">
        <f>'Приложение 2'!E241</f>
        <v>2</v>
      </c>
      <c r="E239" s="72">
        <f>'Приложение 2'!F241</f>
        <v>200</v>
      </c>
      <c r="F239" s="58">
        <f>'Приложение 2'!G241</f>
        <v>0</v>
      </c>
      <c r="G239" s="58">
        <f>'Приложение 2'!H241</f>
        <v>0</v>
      </c>
      <c r="H239" s="64" t="e">
        <f t="shared" si="3"/>
        <v>#DIV/0!</v>
      </c>
    </row>
    <row r="240" spans="1:8" ht="24" outlineLevel="5">
      <c r="A240" s="45" t="str">
        <f>'Приложение 2'!A242</f>
        <v>Подпрограмма " Профилактика безнадзорности, правонарушений и неблагополучия несовершеннолетних"</v>
      </c>
      <c r="B240" s="72" t="str">
        <f>'Приложение 2'!C242</f>
        <v>0707</v>
      </c>
      <c r="C240" s="72" t="str">
        <f>'Приложение 2'!D242</f>
        <v>07</v>
      </c>
      <c r="D240" s="72">
        <f>'Приложение 2'!E242</f>
        <v>3</v>
      </c>
      <c r="E240" s="72"/>
      <c r="F240" s="58">
        <f>'Приложение 2'!G242</f>
        <v>10</v>
      </c>
      <c r="G240" s="58">
        <f>'Приложение 2'!H242</f>
        <v>10</v>
      </c>
      <c r="H240" s="64">
        <f t="shared" si="3"/>
        <v>100</v>
      </c>
    </row>
    <row r="241" spans="1:8" ht="24" outlineLevel="5">
      <c r="A241" s="45" t="str">
        <f>'Приложение 2'!A243</f>
        <v>Закупка товаров, работ и услуг для государственных (муниципальных) нужд</v>
      </c>
      <c r="B241" s="72" t="str">
        <f>'Приложение 2'!C243</f>
        <v>0707</v>
      </c>
      <c r="C241" s="72" t="str">
        <f>'Приложение 2'!D243</f>
        <v>07</v>
      </c>
      <c r="D241" s="72">
        <f>'Приложение 2'!E243</f>
        <v>3</v>
      </c>
      <c r="E241" s="72">
        <f>'Приложение 2'!F243</f>
        <v>200</v>
      </c>
      <c r="F241" s="58">
        <f>'Приложение 2'!G243</f>
        <v>10</v>
      </c>
      <c r="G241" s="58">
        <f>'Приложение 2'!H243</f>
        <v>10</v>
      </c>
      <c r="H241" s="64">
        <f t="shared" si="3"/>
        <v>100</v>
      </c>
    </row>
    <row r="242" spans="1:8" ht="12.75" hidden="1" outlineLevel="5">
      <c r="A242" s="45">
        <f>'Приложение 2'!A244</f>
        <v>0</v>
      </c>
      <c r="B242" s="72" t="str">
        <f>'Приложение 2'!C244</f>
        <v>0707</v>
      </c>
      <c r="C242" s="72" t="str">
        <f>'Приложение 2'!D244</f>
        <v>07</v>
      </c>
      <c r="D242" s="72">
        <f>'Приложение 2'!E244</f>
        <v>3</v>
      </c>
      <c r="E242" s="72">
        <f>'Приложение 2'!F244</f>
        <v>0</v>
      </c>
      <c r="F242" s="58">
        <f>'Приложение 2'!G244</f>
        <v>0</v>
      </c>
      <c r="G242" s="58">
        <f>'Приложение 2'!H244</f>
        <v>0</v>
      </c>
      <c r="H242" s="64" t="e">
        <f t="shared" si="3"/>
        <v>#DIV/0!</v>
      </c>
    </row>
    <row r="243" spans="1:8" ht="12.75" hidden="1" outlineLevel="5">
      <c r="A243" s="45">
        <f>'Приложение 2'!A245</f>
        <v>0</v>
      </c>
      <c r="B243" s="72" t="str">
        <f>'Приложение 2'!C245</f>
        <v>0707</v>
      </c>
      <c r="C243" s="72" t="str">
        <f>'Приложение 2'!D245</f>
        <v>07</v>
      </c>
      <c r="D243" s="72">
        <f>'Приложение 2'!E245</f>
        <v>3</v>
      </c>
      <c r="E243" s="72">
        <f>'Приложение 2'!F245</f>
        <v>200</v>
      </c>
      <c r="F243" s="58">
        <f>'Приложение 2'!G245</f>
        <v>0</v>
      </c>
      <c r="G243" s="58">
        <f>'Приложение 2'!H245</f>
        <v>0</v>
      </c>
      <c r="H243" s="64" t="e">
        <f t="shared" si="3"/>
        <v>#DIV/0!</v>
      </c>
    </row>
    <row r="244" spans="1:8" ht="38.25" customHeight="1" outlineLevel="5">
      <c r="A244" s="45" t="str">
        <f>'Приложение 2'!A246</f>
        <v>Ведомственная целевая программа "Молодежная политика на территории Алексеевского муниципального района на 2022-2024 годы" (СДЦ)</v>
      </c>
      <c r="B244" s="72" t="str">
        <f>'Приложение 2'!C246</f>
        <v>0707</v>
      </c>
      <c r="C244" s="72" t="str">
        <f>'Приложение 2'!D246</f>
        <v>56</v>
      </c>
      <c r="D244" s="72">
        <f>'Приложение 2'!E246</f>
        <v>0</v>
      </c>
      <c r="E244" s="72"/>
      <c r="F244" s="58">
        <f>'Приложение 2'!G246</f>
        <v>4784.24205</v>
      </c>
      <c r="G244" s="58">
        <f>'Приложение 2'!H246</f>
        <v>4784.24205</v>
      </c>
      <c r="H244" s="64">
        <f t="shared" si="3"/>
        <v>100</v>
      </c>
    </row>
    <row r="245" spans="1:8" ht="29.25" customHeight="1" outlineLevel="5">
      <c r="A245" s="45" t="str">
        <f>'Приложение 2'!A247</f>
        <v>Предоставление субсидий бюджетным, автономным учреждениям и иным некоммерческим организациям</v>
      </c>
      <c r="B245" s="72" t="str">
        <f>'Приложение 2'!C247</f>
        <v>0707</v>
      </c>
      <c r="C245" s="72" t="str">
        <f>'Приложение 2'!D247</f>
        <v>56</v>
      </c>
      <c r="D245" s="72">
        <f>'Приложение 2'!E247</f>
        <v>0</v>
      </c>
      <c r="E245" s="72">
        <f>'Приложение 2'!F247</f>
        <v>600</v>
      </c>
      <c r="F245" s="58">
        <f>'Приложение 2'!G247</f>
        <v>4784.24205</v>
      </c>
      <c r="G245" s="58">
        <f>'Приложение 2'!H247</f>
        <v>4784.24205</v>
      </c>
      <c r="H245" s="64">
        <f t="shared" si="3"/>
        <v>100</v>
      </c>
    </row>
    <row r="246" spans="1:8" ht="18.75" customHeight="1" outlineLevel="5">
      <c r="A246" s="45" t="str">
        <f>'Приложение 2'!A248</f>
        <v>Другие вопросы в области образования</v>
      </c>
      <c r="B246" s="72" t="str">
        <f>'Приложение 2'!C248</f>
        <v>0709</v>
      </c>
      <c r="C246" s="72"/>
      <c r="D246" s="72"/>
      <c r="E246" s="72"/>
      <c r="F246" s="58">
        <f>'Приложение 2'!G248</f>
        <v>7831.41437</v>
      </c>
      <c r="G246" s="58">
        <f>'Приложение 2'!H248</f>
        <v>7831.41437</v>
      </c>
      <c r="H246" s="64">
        <f t="shared" si="3"/>
        <v>100</v>
      </c>
    </row>
    <row r="247" spans="1:8" ht="27.75" customHeight="1" outlineLevel="5">
      <c r="A247" s="45" t="str">
        <f>'Приложение 2'!A249</f>
        <v>Муниципальная программа "Развитие образования детей на территории Алексеевского муниципального района на 2023-2025 годы"</v>
      </c>
      <c r="B247" s="72" t="str">
        <f>'Приложение 2'!C249</f>
        <v>0709</v>
      </c>
      <c r="C247" s="72" t="str">
        <f>'Приложение 2'!D249</f>
        <v>53</v>
      </c>
      <c r="D247" s="72">
        <f>'Приложение 2'!E249</f>
        <v>0</v>
      </c>
      <c r="E247" s="72"/>
      <c r="F247" s="58">
        <f>'Приложение 2'!G249</f>
        <v>3726.42536</v>
      </c>
      <c r="G247" s="58">
        <f>'Приложение 2'!H249</f>
        <v>3726.42536</v>
      </c>
      <c r="H247" s="64">
        <f t="shared" si="3"/>
        <v>100</v>
      </c>
    </row>
    <row r="248" spans="1:8" ht="18.75" customHeight="1" outlineLevel="5">
      <c r="A248" s="45" t="str">
        <f>'Приложение 2'!A250</f>
        <v>Подпрограмма "Развитие общего образования детей"</v>
      </c>
      <c r="B248" s="72" t="str">
        <f>'Приложение 2'!C250</f>
        <v>0709</v>
      </c>
      <c r="C248" s="72" t="str">
        <f>'Приложение 2'!D250</f>
        <v>53</v>
      </c>
      <c r="D248" s="72">
        <f>'Приложение 2'!E250</f>
        <v>2</v>
      </c>
      <c r="E248" s="72">
        <f>'Приложение 2'!F250</f>
        <v>0</v>
      </c>
      <c r="F248" s="58">
        <f>'Приложение 2'!G250</f>
        <v>3726.42536</v>
      </c>
      <c r="G248" s="58">
        <f>'Приложение 2'!H250</f>
        <v>3726.42536</v>
      </c>
      <c r="H248" s="64">
        <f t="shared" si="3"/>
        <v>100</v>
      </c>
    </row>
    <row r="249" spans="1:8" ht="55.5" customHeight="1" outlineLevel="5">
      <c r="A249" s="45" t="str">
        <f>'Приложение 2'!A251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9" s="72" t="str">
        <f>'Приложение 2'!C251</f>
        <v>0709</v>
      </c>
      <c r="C249" s="72" t="str">
        <f>'Приложение 2'!D251</f>
        <v>53</v>
      </c>
      <c r="D249" s="72">
        <f>'Приложение 2'!E251</f>
        <v>2</v>
      </c>
      <c r="E249" s="72">
        <f>'Приложение 2'!F251</f>
        <v>100</v>
      </c>
      <c r="F249" s="58">
        <f>'Приложение 2'!G251</f>
        <v>247.79529</v>
      </c>
      <c r="G249" s="58">
        <f>'Приложение 2'!H251</f>
        <v>247.79529</v>
      </c>
      <c r="H249" s="64">
        <f t="shared" si="3"/>
        <v>100</v>
      </c>
    </row>
    <row r="250" spans="1:8" ht="75.75" customHeight="1" outlineLevel="5">
      <c r="A250" s="45" t="str">
        <f>'Приложение 2'!A252</f>
        <v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v>
      </c>
      <c r="B250" s="72" t="str">
        <f>'Приложение 2'!C252</f>
        <v>0709</v>
      </c>
      <c r="C250" s="72" t="str">
        <f>'Приложение 2'!D252</f>
        <v>53</v>
      </c>
      <c r="D250" s="72">
        <f>'Приложение 2'!E252</f>
        <v>2</v>
      </c>
      <c r="E250" s="72">
        <f>'Приложение 2'!F252</f>
        <v>600</v>
      </c>
      <c r="F250" s="58">
        <f>'Приложение 2'!G252</f>
        <v>3478.63007</v>
      </c>
      <c r="G250" s="58">
        <f>'Приложение 2'!H252</f>
        <v>3478.63007</v>
      </c>
      <c r="H250" s="64">
        <f t="shared" si="3"/>
        <v>100</v>
      </c>
    </row>
    <row r="251" spans="1:8" ht="20.25" customHeight="1" outlineLevel="5">
      <c r="A251" s="45" t="str">
        <f>'Приложение 2'!A253</f>
        <v>Организация отдыха детей в лагерях дневного пребывания</v>
      </c>
      <c r="B251" s="72" t="str">
        <f>'Приложение 2'!C253</f>
        <v>0709</v>
      </c>
      <c r="C251" s="72" t="str">
        <f>'Приложение 2'!D253</f>
        <v>99</v>
      </c>
      <c r="D251" s="72"/>
      <c r="E251" s="72"/>
      <c r="F251" s="58">
        <f>'Приложение 2'!G253</f>
        <v>2683.75</v>
      </c>
      <c r="G251" s="58">
        <f>'Приложение 2'!H253</f>
        <v>2683.75</v>
      </c>
      <c r="H251" s="64">
        <f t="shared" si="3"/>
        <v>100</v>
      </c>
    </row>
    <row r="252" spans="1:8" ht="24.75" customHeight="1" outlineLevel="5">
      <c r="A252" s="45" t="str">
        <f>'Приложение 2'!A254</f>
        <v>Непрограммные расходы органов местного самоуправления Алексеевского муниципального района</v>
      </c>
      <c r="B252" s="72" t="str">
        <f>'Приложение 2'!C254</f>
        <v>0709</v>
      </c>
      <c r="C252" s="72" t="str">
        <f>'Приложение 2'!D254</f>
        <v>99</v>
      </c>
      <c r="D252" s="72"/>
      <c r="E252" s="72"/>
      <c r="F252" s="58">
        <f>'Приложение 2'!G254</f>
        <v>2683.75</v>
      </c>
      <c r="G252" s="58">
        <f>'Приложение 2'!H254</f>
        <v>2683.75</v>
      </c>
      <c r="H252" s="64">
        <f t="shared" si="3"/>
        <v>100</v>
      </c>
    </row>
    <row r="253" spans="1:8" ht="36" outlineLevel="5">
      <c r="A253" s="45" t="str">
        <f>'Приложение 2'!A255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53" s="72" t="str">
        <f>'Приложение 2'!C255</f>
        <v>0709</v>
      </c>
      <c r="C253" s="72" t="str">
        <f>'Приложение 2'!D255</f>
        <v>99</v>
      </c>
      <c r="D253" s="72">
        <f>'Приложение 2'!E255</f>
        <v>0</v>
      </c>
      <c r="E253" s="72">
        <f>'Приложение 2'!F255</f>
        <v>600</v>
      </c>
      <c r="F253" s="58">
        <f>'Приложение 2'!G255</f>
        <v>2415.4</v>
      </c>
      <c r="G253" s="58">
        <f>'Приложение 2'!H255</f>
        <v>2415.4</v>
      </c>
      <c r="H253" s="64">
        <f t="shared" si="3"/>
        <v>100</v>
      </c>
    </row>
    <row r="254" spans="1:8" ht="25.5" customHeight="1" outlineLevel="5">
      <c r="A254" s="45" t="str">
        <f>'Приложение 2'!A256</f>
        <v>Предоставление субсидий бюджетным, автономным учреждениям и иным некоммерческим организациям</v>
      </c>
      <c r="B254" s="72" t="str">
        <f>'Приложение 2'!C256</f>
        <v>0709</v>
      </c>
      <c r="C254" s="72" t="str">
        <f>'Приложение 2'!D256</f>
        <v>99</v>
      </c>
      <c r="D254" s="72">
        <f>'Приложение 2'!E256</f>
        <v>0</v>
      </c>
      <c r="E254" s="72">
        <f>'Приложение 2'!F256</f>
        <v>600</v>
      </c>
      <c r="F254" s="58">
        <f>'Приложение 2'!G256</f>
        <v>268.35</v>
      </c>
      <c r="G254" s="58">
        <f>'Приложение 2'!H256</f>
        <v>268.35</v>
      </c>
      <c r="H254" s="64">
        <f t="shared" si="3"/>
        <v>100</v>
      </c>
    </row>
    <row r="255" spans="1:8" ht="61.5" customHeight="1" hidden="1" outlineLevel="5">
      <c r="A255" s="45" t="str">
        <f>'Приложение 2'!A257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55" s="72" t="str">
        <f>'Приложение 2'!C257</f>
        <v>0709</v>
      </c>
      <c r="C255" s="72" t="str">
        <f>'Приложение 2'!D257</f>
        <v>08</v>
      </c>
      <c r="D255" s="72">
        <f>'Приложение 2'!E257</f>
        <v>0</v>
      </c>
      <c r="E255" s="72"/>
      <c r="F255" s="58">
        <f>'Приложение 2'!G257</f>
        <v>0</v>
      </c>
      <c r="G255" s="58">
        <f>'Приложение 2'!H257</f>
        <v>0</v>
      </c>
      <c r="H255" s="64" t="e">
        <f t="shared" si="3"/>
        <v>#DIV/0!</v>
      </c>
    </row>
    <row r="256" spans="1:8" ht="12.75" hidden="1" outlineLevel="2">
      <c r="A256" s="45" t="str">
        <f>'Приложение 2'!A258</f>
        <v>Социальное обеспечение и иные выплаты населению</v>
      </c>
      <c r="B256" s="72" t="str">
        <f>'Приложение 2'!C258</f>
        <v>0709</v>
      </c>
      <c r="C256" s="72" t="str">
        <f>'Приложение 2'!D258</f>
        <v>08</v>
      </c>
      <c r="D256" s="72">
        <f>'Приложение 2'!E258</f>
        <v>0</v>
      </c>
      <c r="E256" s="72" t="s">
        <v>199</v>
      </c>
      <c r="F256" s="58">
        <f>'Приложение 2'!G258</f>
        <v>0</v>
      </c>
      <c r="G256" s="58">
        <f>'Приложение 2'!H258</f>
        <v>0</v>
      </c>
      <c r="H256" s="64" t="e">
        <f t="shared" si="3"/>
        <v>#DIV/0!</v>
      </c>
    </row>
    <row r="257" spans="1:8" ht="48" outlineLevel="3">
      <c r="A257" s="45" t="str">
        <f>'Приложение 2'!A259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57" s="72" t="str">
        <f>'Приложение 2'!C259</f>
        <v>0709</v>
      </c>
      <c r="C257" s="72" t="str">
        <f>'Приложение 2'!D259</f>
        <v>58</v>
      </c>
      <c r="D257" s="72">
        <f>'Приложение 2'!E259</f>
        <v>0</v>
      </c>
      <c r="E257" s="72"/>
      <c r="F257" s="58">
        <f>'Приложение 2'!G259</f>
        <v>1421.23901</v>
      </c>
      <c r="G257" s="58">
        <f>'Приложение 2'!H259</f>
        <v>1421.23901</v>
      </c>
      <c r="H257" s="64">
        <f t="shared" si="3"/>
        <v>100</v>
      </c>
    </row>
    <row r="258" spans="1:8" ht="48" outlineLevel="3">
      <c r="A258" s="45" t="str">
        <f>'Приложение 2'!A260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8" s="72" t="str">
        <f>'Приложение 2'!C260</f>
        <v>0709</v>
      </c>
      <c r="C258" s="72" t="str">
        <f>'Приложение 2'!D260</f>
        <v>58</v>
      </c>
      <c r="D258" s="72">
        <f>'Приложение 2'!E260</f>
        <v>0</v>
      </c>
      <c r="E258" s="72">
        <f>'Приложение 2'!F260</f>
        <v>100</v>
      </c>
      <c r="F258" s="58">
        <f>'Приложение 2'!G260</f>
        <v>1421.23472</v>
      </c>
      <c r="G258" s="58">
        <f>'Приложение 2'!H260</f>
        <v>1421.23472</v>
      </c>
      <c r="H258" s="64">
        <f t="shared" si="3"/>
        <v>100</v>
      </c>
    </row>
    <row r="259" spans="1:8" ht="14.25" customHeight="1" outlineLevel="3">
      <c r="A259" s="45" t="str">
        <f>'Приложение 2'!A261</f>
        <v>Закупка товаров, работ и услуг для государственных (муниципальных) нужд</v>
      </c>
      <c r="B259" s="72" t="str">
        <f>'Приложение 2'!C261</f>
        <v>0709</v>
      </c>
      <c r="C259" s="72" t="str">
        <f>'Приложение 2'!D261</f>
        <v>58</v>
      </c>
      <c r="D259" s="72">
        <f>'Приложение 2'!E261</f>
        <v>0</v>
      </c>
      <c r="E259" s="72">
        <f>'Приложение 2'!F261</f>
        <v>200</v>
      </c>
      <c r="F259" s="58">
        <f>'Приложение 2'!G261</f>
        <v>0</v>
      </c>
      <c r="G259" s="58">
        <f>'Приложение 2'!H261</f>
        <v>0</v>
      </c>
      <c r="H259" s="64" t="e">
        <f t="shared" si="3"/>
        <v>#DIV/0!</v>
      </c>
    </row>
    <row r="260" spans="1:8" ht="12.75" hidden="1" outlineLevel="3">
      <c r="A260" s="45" t="str">
        <f>'Приложение 2'!A262</f>
        <v>Иные бюджетные ассигнования</v>
      </c>
      <c r="B260" s="72" t="str">
        <f>'Приложение 2'!C262</f>
        <v>0709</v>
      </c>
      <c r="C260" s="72" t="str">
        <f>'Приложение 2'!D262</f>
        <v>58</v>
      </c>
      <c r="D260" s="72">
        <f>'Приложение 2'!E262</f>
        <v>0</v>
      </c>
      <c r="E260" s="72">
        <f>'Приложение 2'!F262</f>
        <v>800</v>
      </c>
      <c r="F260" s="58">
        <f>'Приложение 2'!G262</f>
        <v>0.00429</v>
      </c>
      <c r="G260" s="58">
        <f>'Приложение 2'!H262</f>
        <v>0.00429</v>
      </c>
      <c r="H260" s="64">
        <f t="shared" si="3"/>
        <v>100</v>
      </c>
    </row>
    <row r="261" spans="1:8" ht="12.75" outlineLevel="3">
      <c r="A261" s="45" t="str">
        <f>'Приложение 2'!A263</f>
        <v>Культура, кинематография </v>
      </c>
      <c r="B261" s="72" t="str">
        <f>'Приложение 2'!C263</f>
        <v>0800</v>
      </c>
      <c r="C261" s="72"/>
      <c r="D261" s="72"/>
      <c r="E261" s="72"/>
      <c r="F261" s="58">
        <f>'Приложение 2'!G263</f>
        <v>33431.60135</v>
      </c>
      <c r="G261" s="58">
        <f>'Приложение 2'!H263</f>
        <v>32548.330230000003</v>
      </c>
      <c r="H261" s="64">
        <f t="shared" si="3"/>
        <v>97.3579754354184</v>
      </c>
    </row>
    <row r="262" spans="1:8" ht="12.75" outlineLevel="3">
      <c r="A262" s="45" t="str">
        <f>'Приложение 2'!A264</f>
        <v>Культура</v>
      </c>
      <c r="B262" s="72" t="str">
        <f>'Приложение 2'!C264</f>
        <v>0801</v>
      </c>
      <c r="C262" s="72"/>
      <c r="D262" s="72"/>
      <c r="E262" s="72"/>
      <c r="F262" s="58">
        <f>'Приложение 2'!G264</f>
        <v>32917.43298</v>
      </c>
      <c r="G262" s="58">
        <f>'Приложение 2'!H264</f>
        <v>32082.13645</v>
      </c>
      <c r="H262" s="64">
        <f t="shared" si="3"/>
        <v>97.46244936381429</v>
      </c>
    </row>
    <row r="263" spans="1:8" ht="24" outlineLevel="3">
      <c r="A263" s="45" t="str">
        <f>'Приложение 2'!A265</f>
        <v>Муниципальная программа "Комплексное развитие сельских территорий"</v>
      </c>
      <c r="B263" s="72" t="str">
        <f>'Приложение 2'!C265</f>
        <v>0801</v>
      </c>
      <c r="C263" s="72" t="str">
        <f>'Приложение 2'!D265</f>
        <v>03</v>
      </c>
      <c r="D263" s="72">
        <f>'Приложение 2'!E265</f>
        <v>0</v>
      </c>
      <c r="E263" s="72"/>
      <c r="F263" s="58">
        <f>'Приложение 2'!G265</f>
        <v>19163.15984</v>
      </c>
      <c r="G263" s="58">
        <f>'Приложение 2'!H265</f>
        <v>19163.15984</v>
      </c>
      <c r="H263" s="64">
        <f t="shared" si="3"/>
        <v>100</v>
      </c>
    </row>
    <row r="264" spans="1:8" ht="36" outlineLevel="3">
      <c r="A264" s="45" t="str">
        <f>'Приложение 2'!A266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64" s="72" t="str">
        <f>'Приложение 2'!C266</f>
        <v>0801</v>
      </c>
      <c r="C264" s="72" t="str">
        <f>'Приложение 2'!D266</f>
        <v>03</v>
      </c>
      <c r="D264" s="72">
        <f>'Приложение 2'!E266</f>
        <v>0</v>
      </c>
      <c r="E264" s="72">
        <f>'Приложение 2'!F266</f>
        <v>200</v>
      </c>
      <c r="F264" s="58">
        <f>'Приложение 2'!G266</f>
        <v>18740.82475</v>
      </c>
      <c r="G264" s="58">
        <f>'Приложение 2'!H266</f>
        <v>18740.82475</v>
      </c>
      <c r="H264" s="64">
        <f t="shared" si="3"/>
        <v>100</v>
      </c>
    </row>
    <row r="265" spans="1:8" ht="24" outlineLevel="3">
      <c r="A265" s="45" t="str">
        <f>'Приложение 2'!A267</f>
        <v>Закупка товаров, работ и услуг для государственных (муниципальных) нужд (софинансирование)</v>
      </c>
      <c r="B265" s="72" t="str">
        <f>'Приложение 2'!C267</f>
        <v>0801</v>
      </c>
      <c r="C265" s="72" t="str">
        <f>'Приложение 2'!D267</f>
        <v>03</v>
      </c>
      <c r="D265" s="72">
        <f>'Приложение 2'!E267</f>
        <v>0</v>
      </c>
      <c r="E265" s="72">
        <f>'Приложение 2'!F267</f>
        <v>200</v>
      </c>
      <c r="F265" s="58">
        <f>'Приложение 2'!G267</f>
        <v>422.33509000000004</v>
      </c>
      <c r="G265" s="58">
        <f>'Приложение 2'!H267</f>
        <v>422.33509000000004</v>
      </c>
      <c r="H265" s="64">
        <f t="shared" si="3"/>
        <v>100</v>
      </c>
    </row>
    <row r="266" spans="1:8" ht="38.25" customHeight="1" outlineLevel="3">
      <c r="A266" s="45" t="str">
        <f>'Приложение 2'!A268</f>
        <v>Муниципальная программа "Развитие народных художественных промыслов Алексеевского муниципального района на 2019-2023 годы"</v>
      </c>
      <c r="B266" s="72" t="str">
        <f>'Приложение 2'!C268</f>
        <v>0801</v>
      </c>
      <c r="C266" s="72" t="str">
        <f>'Приложение 2'!D268</f>
        <v>12</v>
      </c>
      <c r="D266" s="72">
        <f>'Приложение 2'!E268</f>
        <v>0</v>
      </c>
      <c r="E266" s="72"/>
      <c r="F266" s="58">
        <f>'Приложение 2'!G268</f>
        <v>20</v>
      </c>
      <c r="G266" s="58">
        <f>'Приложение 2'!H268</f>
        <v>20</v>
      </c>
      <c r="H266" s="64">
        <f aca="true" t="shared" si="4" ref="H266:H329">SUM(G266/F266)*100</f>
        <v>100</v>
      </c>
    </row>
    <row r="267" spans="1:8" ht="26.25" customHeight="1" outlineLevel="3">
      <c r="A267" s="45" t="str">
        <f>'Приложение 2'!A269</f>
        <v>Предоставление субсидий бюджетным, автономным учреждениям и иным некоммерческим организациям</v>
      </c>
      <c r="B267" s="72" t="str">
        <f>'Приложение 2'!C269</f>
        <v>0801</v>
      </c>
      <c r="C267" s="72" t="str">
        <f>'Приложение 2'!D269</f>
        <v>12</v>
      </c>
      <c r="D267" s="72">
        <f>'Приложение 2'!E269</f>
        <v>0</v>
      </c>
      <c r="E267" s="72">
        <f>'Приложение 2'!F269</f>
        <v>600</v>
      </c>
      <c r="F267" s="58">
        <f>'Приложение 2'!G269</f>
        <v>20</v>
      </c>
      <c r="G267" s="58">
        <f>'Приложение 2'!H269</f>
        <v>20</v>
      </c>
      <c r="H267" s="64">
        <f t="shared" si="4"/>
        <v>100</v>
      </c>
    </row>
    <row r="268" spans="1:8" ht="36" outlineLevel="3">
      <c r="A268" s="45" t="str">
        <f>'Приложение 2'!A270</f>
        <v>Муниципальная программа "О поддержке деятельности казачьих обществ Алексеевского муниципального района на 2019-2023 годы"</v>
      </c>
      <c r="B268" s="72" t="str">
        <f>'Приложение 2'!C270</f>
        <v>0801</v>
      </c>
      <c r="C268" s="72" t="str">
        <f>'Приложение 2'!D270</f>
        <v>13</v>
      </c>
      <c r="D268" s="72">
        <f>'Приложение 2'!E270</f>
        <v>0</v>
      </c>
      <c r="E268" s="72"/>
      <c r="F268" s="58">
        <f>'Приложение 2'!G270</f>
        <v>0</v>
      </c>
      <c r="G268" s="58">
        <f>'Приложение 2'!H270</f>
        <v>0</v>
      </c>
      <c r="H268" s="64" t="e">
        <f t="shared" si="4"/>
        <v>#DIV/0!</v>
      </c>
    </row>
    <row r="269" spans="1:8" ht="24" outlineLevel="3">
      <c r="A269" s="45" t="str">
        <f>'Приложение 2'!A271</f>
        <v>Предоставление субсидий бюджетным, автономным учреждениям и иным некоммерческим организациям</v>
      </c>
      <c r="B269" s="72" t="str">
        <f>'Приложение 2'!C271</f>
        <v>0801</v>
      </c>
      <c r="C269" s="72" t="str">
        <f>'Приложение 2'!D271</f>
        <v>13</v>
      </c>
      <c r="D269" s="72">
        <f>'Приложение 2'!E271</f>
        <v>0</v>
      </c>
      <c r="E269" s="72">
        <f>'Приложение 2'!F271</f>
        <v>600</v>
      </c>
      <c r="F269" s="58">
        <f>'Приложение 2'!G271</f>
        <v>0</v>
      </c>
      <c r="G269" s="58">
        <f>'Приложение 2'!H271</f>
        <v>0</v>
      </c>
      <c r="H269" s="64" t="e">
        <f t="shared" si="4"/>
        <v>#DIV/0!</v>
      </c>
    </row>
    <row r="270" spans="1:8" ht="24" outlineLevel="3">
      <c r="A270" s="45" t="str">
        <f>'Приложение 2'!A272</f>
        <v>Непрограммные расходы органов местного самоуправления Алексеевского муниципального района</v>
      </c>
      <c r="B270" s="72" t="str">
        <f>'Приложение 2'!C272</f>
        <v>0801</v>
      </c>
      <c r="C270" s="72" t="str">
        <f>'Приложение 2'!D272</f>
        <v>99</v>
      </c>
      <c r="D270" s="72">
        <f>'Приложение 2'!E272</f>
        <v>0</v>
      </c>
      <c r="E270" s="72"/>
      <c r="F270" s="58">
        <f>'Приложение 2'!G272</f>
        <v>10</v>
      </c>
      <c r="G270" s="58">
        <f>'Приложение 2'!H272</f>
        <v>10</v>
      </c>
      <c r="H270" s="64">
        <f t="shared" si="4"/>
        <v>100</v>
      </c>
    </row>
    <row r="271" spans="1:8" ht="24" outlineLevel="3">
      <c r="A271" s="45" t="str">
        <f>'Приложение 2'!A273</f>
        <v>Закупка товаров, работ и услуг для государственных (муниципальных) нужд</v>
      </c>
      <c r="B271" s="72" t="str">
        <f>'Приложение 2'!C273</f>
        <v>0801</v>
      </c>
      <c r="C271" s="72" t="str">
        <f>'Приложение 2'!D273</f>
        <v>99</v>
      </c>
      <c r="D271" s="72">
        <f>'Приложение 2'!E273</f>
        <v>0</v>
      </c>
      <c r="E271" s="72">
        <f>'Приложение 2'!F273</f>
        <v>200</v>
      </c>
      <c r="F271" s="58">
        <f>'Приложение 2'!G273</f>
        <v>10</v>
      </c>
      <c r="G271" s="58">
        <f>'Приложение 2'!H273</f>
        <v>10</v>
      </c>
      <c r="H271" s="64">
        <f t="shared" si="4"/>
        <v>100</v>
      </c>
    </row>
    <row r="272" spans="1:8" ht="36.75" customHeight="1" outlineLevel="1">
      <c r="A272" s="45" t="str">
        <f>'Приложение 2'!A274</f>
        <v>Ведомственная целевая программа "Развитие культуры и искусства в Алексеевском муниципальном районе на 2022-2024 годы"</v>
      </c>
      <c r="B272" s="72" t="str">
        <f>'Приложение 2'!C274</f>
        <v>0800</v>
      </c>
      <c r="C272" s="72" t="str">
        <f>'Приложение 2'!D274</f>
        <v>59</v>
      </c>
      <c r="D272" s="72">
        <f>'Приложение 2'!E274</f>
        <v>0</v>
      </c>
      <c r="E272" s="72"/>
      <c r="F272" s="58">
        <f>'Приложение 2'!G274</f>
        <v>14238.44151</v>
      </c>
      <c r="G272" s="58">
        <f>'Приложение 2'!H274</f>
        <v>13355.170390000001</v>
      </c>
      <c r="H272" s="64">
        <f t="shared" si="4"/>
        <v>93.7965744398384</v>
      </c>
    </row>
    <row r="273" spans="1:8" ht="16.5" customHeight="1" outlineLevel="3">
      <c r="A273" s="45" t="str">
        <f>'Приложение 2'!A275</f>
        <v>Дворцы и дома культуры, другие учреждения культуры</v>
      </c>
      <c r="B273" s="72" t="str">
        <f>'Приложение 2'!C275</f>
        <v>0801</v>
      </c>
      <c r="C273" s="72" t="str">
        <f>'Приложение 2'!D275</f>
        <v>59</v>
      </c>
      <c r="D273" s="72">
        <f>'Приложение 2'!E275</f>
        <v>0</v>
      </c>
      <c r="E273" s="72"/>
      <c r="F273" s="58">
        <f>'Приложение 2'!G275</f>
        <v>10849.031930000001</v>
      </c>
      <c r="G273" s="58">
        <f>'Приложение 2'!H275</f>
        <v>10123.06218</v>
      </c>
      <c r="H273" s="64">
        <f t="shared" si="4"/>
        <v>93.30843752065535</v>
      </c>
    </row>
    <row r="274" spans="1:8" ht="24" customHeight="1" outlineLevel="3">
      <c r="A274" s="45" t="str">
        <f>'Приложение 2'!A276</f>
        <v>Предоставление субсидий бюджетным, автономным учреждениям и иным некоммерческим организациям</v>
      </c>
      <c r="B274" s="72" t="str">
        <f>'Приложение 2'!C276</f>
        <v>0801</v>
      </c>
      <c r="C274" s="72" t="str">
        <f>'Приложение 2'!D276</f>
        <v>59</v>
      </c>
      <c r="D274" s="72">
        <f>'Приложение 2'!E276</f>
        <v>0</v>
      </c>
      <c r="E274" s="72">
        <f>'Приложение 2'!F276</f>
        <v>600</v>
      </c>
      <c r="F274" s="58">
        <f>'Приложение 2'!G276</f>
        <v>10849.031930000001</v>
      </c>
      <c r="G274" s="58">
        <f>'Приложение 2'!H276</f>
        <v>10123.06218</v>
      </c>
      <c r="H274" s="64">
        <f t="shared" si="4"/>
        <v>93.30843752065535</v>
      </c>
    </row>
    <row r="275" spans="1:8" ht="14.25" customHeight="1" outlineLevel="3">
      <c r="A275" s="45" t="str">
        <f>'Приложение 2'!A277</f>
        <v>Музей</v>
      </c>
      <c r="B275" s="72" t="str">
        <f>'Приложение 2'!C277</f>
        <v>0801</v>
      </c>
      <c r="C275" s="72" t="str">
        <f>'Приложение 2'!D277</f>
        <v>59</v>
      </c>
      <c r="D275" s="72">
        <f>'Приложение 2'!E277</f>
        <v>0</v>
      </c>
      <c r="E275" s="72"/>
      <c r="F275" s="58">
        <f>'Приложение 2'!G277</f>
        <v>1564.4449000000002</v>
      </c>
      <c r="G275" s="58">
        <f>'Приложение 2'!H277</f>
        <v>1507.71888</v>
      </c>
      <c r="H275" s="64">
        <f t="shared" si="4"/>
        <v>96.3740480728979</v>
      </c>
    </row>
    <row r="276" spans="1:8" ht="31.5" customHeight="1" outlineLevel="3">
      <c r="A276" s="45" t="str">
        <f>'Приложение 2'!A278</f>
        <v>Предоставление субсидий бюджетным, автономным учреждениям и иным некоммерческим организациям</v>
      </c>
      <c r="B276" s="72" t="str">
        <f>'Приложение 2'!C278</f>
        <v>0801</v>
      </c>
      <c r="C276" s="72" t="str">
        <f>'Приложение 2'!D278</f>
        <v>59</v>
      </c>
      <c r="D276" s="72">
        <f>'Приложение 2'!E278</f>
        <v>0</v>
      </c>
      <c r="E276" s="72">
        <f>'Приложение 2'!F278</f>
        <v>600</v>
      </c>
      <c r="F276" s="58">
        <f>'Приложение 2'!G278</f>
        <v>1564.4449000000002</v>
      </c>
      <c r="G276" s="58">
        <f>'Приложение 2'!H278</f>
        <v>1507.71888</v>
      </c>
      <c r="H276" s="64">
        <f t="shared" si="4"/>
        <v>96.3740480728979</v>
      </c>
    </row>
    <row r="277" spans="1:8" ht="16.5" customHeight="1" outlineLevel="3">
      <c r="A277" s="45" t="str">
        <f>'Приложение 2'!A279</f>
        <v>Библиотеки</v>
      </c>
      <c r="B277" s="72" t="str">
        <f>'Приложение 2'!C279</f>
        <v>0801</v>
      </c>
      <c r="C277" s="72" t="str">
        <f>'Приложение 2'!D279</f>
        <v>59</v>
      </c>
      <c r="D277" s="72">
        <f>'Приложение 2'!E279</f>
        <v>0</v>
      </c>
      <c r="E277" s="72"/>
      <c r="F277" s="58">
        <f>'Приложение 2'!G279</f>
        <v>1310.79631</v>
      </c>
      <c r="G277" s="58">
        <f>'Приложение 2'!H279</f>
        <v>1258.19555</v>
      </c>
      <c r="H277" s="64">
        <f t="shared" si="4"/>
        <v>95.98711412301732</v>
      </c>
    </row>
    <row r="278" spans="1:8" ht="27" customHeight="1" outlineLevel="1">
      <c r="A278" s="45" t="str">
        <f>'Приложение 2'!A280</f>
        <v>Предоставление субсидий бюджетным, автономным учреждениям и иным некоммерческим организациям</v>
      </c>
      <c r="B278" s="72" t="str">
        <f>'Приложение 2'!C280</f>
        <v>0801</v>
      </c>
      <c r="C278" s="72" t="str">
        <f>'Приложение 2'!D280</f>
        <v>59</v>
      </c>
      <c r="D278" s="72">
        <f>'Приложение 2'!E280</f>
        <v>0</v>
      </c>
      <c r="E278" s="72">
        <f>'Приложение 2'!F280</f>
        <v>600</v>
      </c>
      <c r="F278" s="58">
        <f>'Приложение 2'!G280</f>
        <v>1310.79631</v>
      </c>
      <c r="G278" s="58">
        <f>'Приложение 2'!H280</f>
        <v>1258.19555</v>
      </c>
      <c r="H278" s="64">
        <f t="shared" si="4"/>
        <v>95.98711412301732</v>
      </c>
    </row>
    <row r="279" spans="1:8" ht="12" customHeight="1" outlineLevel="3">
      <c r="A279" s="45" t="str">
        <f>'Приложение 2'!A281</f>
        <v>Кинематография</v>
      </c>
      <c r="B279" s="72" t="str">
        <f>'Приложение 2'!C281</f>
        <v>0802</v>
      </c>
      <c r="C279" s="72" t="str">
        <f>'Приложение 2'!D281</f>
        <v>59</v>
      </c>
      <c r="D279" s="72">
        <f>'Приложение 2'!E281</f>
        <v>0</v>
      </c>
      <c r="E279" s="72"/>
      <c r="F279" s="58">
        <f>'Приложение 2'!G281</f>
        <v>514.1683700000001</v>
      </c>
      <c r="G279" s="58">
        <f>'Приложение 2'!H281</f>
        <v>466.19378</v>
      </c>
      <c r="H279" s="64">
        <f t="shared" si="4"/>
        <v>90.66947856010667</v>
      </c>
    </row>
    <row r="280" spans="1:8" ht="26.25" customHeight="1" outlineLevel="3">
      <c r="A280" s="45" t="str">
        <f>'Приложение 2'!A282</f>
        <v>Предоставление субсидий бюджетным, автономным учреждениям и иным некоммерческим организациям</v>
      </c>
      <c r="B280" s="72" t="str">
        <f>'Приложение 2'!C282</f>
        <v>0802</v>
      </c>
      <c r="C280" s="72" t="str">
        <f>'Приложение 2'!D282</f>
        <v>59</v>
      </c>
      <c r="D280" s="72">
        <f>'Приложение 2'!E282</f>
        <v>0</v>
      </c>
      <c r="E280" s="72">
        <f>'Приложение 2'!F282</f>
        <v>600</v>
      </c>
      <c r="F280" s="58">
        <f>'Приложение 2'!G282</f>
        <v>514.1683700000001</v>
      </c>
      <c r="G280" s="58">
        <f>'Приложение 2'!H282</f>
        <v>466.19378</v>
      </c>
      <c r="H280" s="64">
        <f t="shared" si="4"/>
        <v>90.66947856010667</v>
      </c>
    </row>
    <row r="281" spans="1:8" ht="12.75" hidden="1" outlineLevel="3">
      <c r="A281" s="45" t="str">
        <f>'Приложение 2'!A283</f>
        <v>Другие вопросы в области культуры, кинематографии </v>
      </c>
      <c r="B281" s="72" t="str">
        <f>'Приложение 2'!C283</f>
        <v>0804</v>
      </c>
      <c r="C281" s="72" t="str">
        <f>'Приложение 2'!D283</f>
        <v>59</v>
      </c>
      <c r="D281" s="72">
        <f>'Приложение 2'!E283</f>
        <v>0</v>
      </c>
      <c r="E281" s="72"/>
      <c r="F281" s="58">
        <f>'Приложение 2'!G283</f>
        <v>0</v>
      </c>
      <c r="G281" s="58">
        <f>'Приложение 2'!H283</f>
        <v>0</v>
      </c>
      <c r="H281" s="64" t="e">
        <f t="shared" si="4"/>
        <v>#DIV/0!</v>
      </c>
    </row>
    <row r="282" spans="1:8" ht="24" hidden="1" outlineLevel="3">
      <c r="A282" s="45" t="str">
        <f>'Приложение 2'!A284</f>
        <v>Предоставление субсидий бюджетным, автономным учреждениям и иным некоммерческим организациям</v>
      </c>
      <c r="B282" s="72" t="str">
        <f>'Приложение 2'!C284</f>
        <v>0804</v>
      </c>
      <c r="C282" s="72" t="str">
        <f>'Приложение 2'!D284</f>
        <v>59</v>
      </c>
      <c r="D282" s="72">
        <f>'Приложение 2'!E284</f>
        <v>0</v>
      </c>
      <c r="E282" s="72">
        <f>'Приложение 2'!F284</f>
        <v>600</v>
      </c>
      <c r="F282" s="58">
        <f>'Приложение 2'!G284</f>
        <v>0</v>
      </c>
      <c r="G282" s="58">
        <f>'Приложение 2'!H284</f>
        <v>0</v>
      </c>
      <c r="H282" s="64" t="e">
        <f t="shared" si="4"/>
        <v>#DIV/0!</v>
      </c>
    </row>
    <row r="283" spans="1:8" ht="40.5" customHeight="1" hidden="1" outlineLevel="3">
      <c r="A283" s="45" t="str">
        <f>'Приложение 2'!A285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83" s="72" t="str">
        <f>'Приложение 2'!C285</f>
        <v>0804</v>
      </c>
      <c r="C283" s="72" t="str">
        <f>'Приложение 2'!D285</f>
        <v>10</v>
      </c>
      <c r="D283" s="72">
        <f>'Приложение 2'!E285</f>
        <v>0</v>
      </c>
      <c r="E283" s="72"/>
      <c r="F283" s="72">
        <f>'Приложение 2'!G285</f>
        <v>0</v>
      </c>
      <c r="G283" s="72">
        <f>'Приложение 2'!H285</f>
        <v>0</v>
      </c>
      <c r="H283" s="64" t="e">
        <f t="shared" si="4"/>
        <v>#DIV/0!</v>
      </c>
    </row>
    <row r="284" spans="1:8" ht="36" hidden="1" outlineLevel="3">
      <c r="A284" s="45" t="str">
        <f>'Приложение 2'!A286</f>
        <v>Межбюджетные трансферты за счет средств субсидии на благоустройство и ремонт памятников, обелисков и воинских захоронений</v>
      </c>
      <c r="B284" s="72" t="str">
        <f>'Приложение 2'!C286</f>
        <v>0804</v>
      </c>
      <c r="C284" s="72" t="str">
        <f>'Приложение 2'!D286</f>
        <v>10</v>
      </c>
      <c r="D284" s="72">
        <f>'Приложение 2'!E286</f>
        <v>0</v>
      </c>
      <c r="E284" s="72">
        <f>'Приложение 2'!F286</f>
        <v>500</v>
      </c>
      <c r="F284" s="72">
        <f>'Приложение 2'!G286</f>
        <v>0</v>
      </c>
      <c r="G284" s="72">
        <f>'Приложение 2'!H286</f>
        <v>0</v>
      </c>
      <c r="H284" s="64" t="e">
        <f t="shared" si="4"/>
        <v>#DIV/0!</v>
      </c>
    </row>
    <row r="285" spans="1:8" ht="12.75" hidden="1" outlineLevel="3">
      <c r="A285" s="45" t="str">
        <f>'Приложение 2'!A287</f>
        <v>Здравоохранение</v>
      </c>
      <c r="B285" s="72" t="str">
        <f>'Приложение 2'!C287</f>
        <v>0900</v>
      </c>
      <c r="C285" s="72"/>
      <c r="D285" s="72"/>
      <c r="E285" s="72"/>
      <c r="F285" s="58">
        <f>'Приложение 2'!G287</f>
        <v>0</v>
      </c>
      <c r="G285" s="58">
        <f>'Приложение 2'!H287</f>
        <v>0</v>
      </c>
      <c r="H285" s="64" t="e">
        <f t="shared" si="4"/>
        <v>#DIV/0!</v>
      </c>
    </row>
    <row r="286" spans="1:8" ht="12.75" hidden="1" outlineLevel="3">
      <c r="A286" s="45" t="str">
        <f>'Приложение 2'!A288</f>
        <v>Амбулаторная помощь</v>
      </c>
      <c r="B286" s="72" t="str">
        <f>'Приложение 2'!C288</f>
        <v>0902</v>
      </c>
      <c r="C286" s="72"/>
      <c r="D286" s="72"/>
      <c r="E286" s="72"/>
      <c r="F286" s="58">
        <f>'Приложение 2'!G288</f>
        <v>0</v>
      </c>
      <c r="G286" s="58">
        <f>'Приложение 2'!H288</f>
        <v>0</v>
      </c>
      <c r="H286" s="64" t="e">
        <f t="shared" si="4"/>
        <v>#DIV/0!</v>
      </c>
    </row>
    <row r="287" spans="1:8" ht="36" hidden="1" outlineLevel="3">
      <c r="A287" s="45" t="str">
        <f>'Приложение 2'!A289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87" s="72" t="str">
        <f>'Приложение 2'!C289</f>
        <v>0902</v>
      </c>
      <c r="C287" s="72" t="str">
        <f>'Приложение 2'!D289</f>
        <v>02</v>
      </c>
      <c r="D287" s="72">
        <f>'Приложение 2'!E289</f>
        <v>0</v>
      </c>
      <c r="E287" s="72"/>
      <c r="F287" s="58">
        <f>'Приложение 2'!G289</f>
        <v>0</v>
      </c>
      <c r="G287" s="58">
        <f>'Приложение 2'!H289</f>
        <v>0</v>
      </c>
      <c r="H287" s="64" t="e">
        <f t="shared" si="4"/>
        <v>#DIV/0!</v>
      </c>
    </row>
    <row r="288" spans="1:8" ht="36" hidden="1">
      <c r="A288" s="45" t="str">
        <f>'Приложение 2'!A290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88" s="72" t="str">
        <f>'Приложение 2'!C290</f>
        <v>0902</v>
      </c>
      <c r="C288" s="72" t="str">
        <f>'Приложение 2'!D290</f>
        <v>02</v>
      </c>
      <c r="D288" s="72">
        <f>'Приложение 2'!E290</f>
        <v>3</v>
      </c>
      <c r="E288" s="72"/>
      <c r="F288" s="58">
        <f>'Приложение 2'!G290</f>
        <v>0</v>
      </c>
      <c r="G288" s="58">
        <f>'Приложение 2'!H290</f>
        <v>0</v>
      </c>
      <c r="H288" s="64" t="e">
        <f t="shared" si="4"/>
        <v>#DIV/0!</v>
      </c>
    </row>
    <row r="289" spans="1:8" s="15" customFormat="1" ht="24" hidden="1" outlineLevel="2">
      <c r="A289" s="45" t="str">
        <f>'Приложение 2'!A291</f>
        <v>Капитальные вложения в объекты государственной (муниципальной) собственности</v>
      </c>
      <c r="B289" s="72" t="str">
        <f>'Приложение 2'!C291</f>
        <v>0902</v>
      </c>
      <c r="C289" s="72" t="str">
        <f>'Приложение 2'!D291</f>
        <v>02</v>
      </c>
      <c r="D289" s="72">
        <f>'Приложение 2'!E291</f>
        <v>3</v>
      </c>
      <c r="E289" s="72">
        <f>'Приложение 2'!F291</f>
        <v>400</v>
      </c>
      <c r="F289" s="58">
        <f>'Приложение 2'!G291</f>
        <v>0</v>
      </c>
      <c r="G289" s="58">
        <f>'Приложение 2'!H291</f>
        <v>0</v>
      </c>
      <c r="H289" s="64" t="e">
        <f t="shared" si="4"/>
        <v>#DIV/0!</v>
      </c>
    </row>
    <row r="290" spans="1:8" s="15" customFormat="1" ht="15" customHeight="1" outlineLevel="2">
      <c r="A290" s="45" t="str">
        <f>'Приложение 2'!A292</f>
        <v>Социальная политика</v>
      </c>
      <c r="B290" s="72" t="str">
        <f>'Приложение 2'!C292</f>
        <v>1000</v>
      </c>
      <c r="C290" s="72"/>
      <c r="D290" s="72"/>
      <c r="E290" s="72"/>
      <c r="F290" s="58">
        <f>'Приложение 2'!G292</f>
        <v>27915.57063</v>
      </c>
      <c r="G290" s="58">
        <f>'Приложение 2'!H292</f>
        <v>27054.96842</v>
      </c>
      <c r="H290" s="64">
        <f t="shared" si="4"/>
        <v>96.91712477811528</v>
      </c>
    </row>
    <row r="291" spans="1:8" s="15" customFormat="1" ht="15.75" customHeight="1" outlineLevel="2">
      <c r="A291" s="45" t="str">
        <f>'Приложение 2'!A293</f>
        <v>Пенсионное обеспечение</v>
      </c>
      <c r="B291" s="72" t="str">
        <f>'Приложение 2'!C293</f>
        <v>1001</v>
      </c>
      <c r="C291" s="72"/>
      <c r="D291" s="72"/>
      <c r="E291" s="72"/>
      <c r="F291" s="58">
        <f>'Приложение 2'!G293</f>
        <v>4583.02963</v>
      </c>
      <c r="G291" s="58">
        <f>'Приложение 2'!H293</f>
        <v>4583.02963</v>
      </c>
      <c r="H291" s="64">
        <f t="shared" si="4"/>
        <v>100</v>
      </c>
    </row>
    <row r="292" spans="1:8" ht="15" customHeight="1" outlineLevel="3">
      <c r="A292" s="45" t="str">
        <f>'Приложение 2'!A294</f>
        <v>Непрограммные расходы органов местного самоуправления Алексеевского муниципального района</v>
      </c>
      <c r="B292" s="72" t="str">
        <f>'Приложение 2'!C294</f>
        <v>1001</v>
      </c>
      <c r="C292" s="72" t="str">
        <f>'Приложение 2'!D294</f>
        <v>99</v>
      </c>
      <c r="D292" s="72">
        <f>'Приложение 2'!E294</f>
        <v>0</v>
      </c>
      <c r="E292" s="72"/>
      <c r="F292" s="58">
        <f>'Приложение 2'!G294</f>
        <v>4583.02963</v>
      </c>
      <c r="G292" s="58">
        <f>'Приложение 2'!H294</f>
        <v>4583.02963</v>
      </c>
      <c r="H292" s="64">
        <f t="shared" si="4"/>
        <v>100</v>
      </c>
    </row>
    <row r="293" spans="1:8" s="15" customFormat="1" ht="12.75" outlineLevel="2">
      <c r="A293" s="45" t="str">
        <f>'Приложение 2'!A295</f>
        <v>Социальное обеспечение и иные выплаты населению</v>
      </c>
      <c r="B293" s="72" t="str">
        <f>'Приложение 2'!C295</f>
        <v>1001</v>
      </c>
      <c r="C293" s="72" t="str">
        <f>'Приложение 2'!D295</f>
        <v>99</v>
      </c>
      <c r="D293" s="72">
        <f>'Приложение 2'!E295</f>
        <v>0</v>
      </c>
      <c r="E293" s="72">
        <f>'Приложение 2'!F295</f>
        <v>300</v>
      </c>
      <c r="F293" s="58">
        <f>'Приложение 2'!G295</f>
        <v>4583.02963</v>
      </c>
      <c r="G293" s="58">
        <f>'Приложение 2'!H295</f>
        <v>4583.02963</v>
      </c>
      <c r="H293" s="64">
        <f t="shared" si="4"/>
        <v>100</v>
      </c>
    </row>
    <row r="294" spans="1:8" s="15" customFormat="1" ht="14.25" customHeight="1" outlineLevel="2">
      <c r="A294" s="45" t="str">
        <f>'Приложение 2'!A296</f>
        <v>Социальное обеспечение населения</v>
      </c>
      <c r="B294" s="72" t="str">
        <f>'Приложение 2'!C296</f>
        <v>1003</v>
      </c>
      <c r="C294" s="72"/>
      <c r="D294" s="72"/>
      <c r="E294" s="72"/>
      <c r="F294" s="58">
        <f>'Приложение 2'!G296</f>
        <v>15653.363</v>
      </c>
      <c r="G294" s="58">
        <f>'Приложение 2'!H296</f>
        <v>14792.76079</v>
      </c>
      <c r="H294" s="64">
        <f t="shared" si="4"/>
        <v>94.50212577322841</v>
      </c>
    </row>
    <row r="295" spans="1:8" s="15" customFormat="1" ht="75.75" customHeight="1" outlineLevel="2">
      <c r="A295" s="45" t="str">
        <f>'Приложение 2'!A297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95" s="72" t="str">
        <f>'Приложение 2'!C297</f>
        <v>1003</v>
      </c>
      <c r="C295" s="72" t="str">
        <f>'Приложение 2'!D297</f>
        <v>14</v>
      </c>
      <c r="D295" s="72">
        <f>'Приложение 2'!E297</f>
        <v>0</v>
      </c>
      <c r="E295" s="72"/>
      <c r="F295" s="58">
        <f>'Приложение 2'!G297</f>
        <v>574.741</v>
      </c>
      <c r="G295" s="58">
        <f>'Приложение 2'!H297</f>
        <v>445.839</v>
      </c>
      <c r="H295" s="64">
        <f t="shared" si="4"/>
        <v>77.57215858969518</v>
      </c>
    </row>
    <row r="296" spans="1:8" ht="12.75" outlineLevel="3">
      <c r="A296" s="45" t="str">
        <f>'Приложение 2'!A298</f>
        <v>Социальное обеспечение и иные выплаты населению</v>
      </c>
      <c r="B296" s="72" t="str">
        <f>'Приложение 2'!C298</f>
        <v>1003</v>
      </c>
      <c r="C296" s="72" t="str">
        <f>'Приложение 2'!D298</f>
        <v>14</v>
      </c>
      <c r="D296" s="72">
        <f>'Приложение 2'!E298</f>
        <v>0</v>
      </c>
      <c r="E296" s="72">
        <f>'Приложение 2'!F298</f>
        <v>300</v>
      </c>
      <c r="F296" s="58">
        <f>'Приложение 2'!G298</f>
        <v>574.741</v>
      </c>
      <c r="G296" s="58">
        <f>'Приложение 2'!H298</f>
        <v>445.839</v>
      </c>
      <c r="H296" s="64">
        <f t="shared" si="4"/>
        <v>77.57215858969518</v>
      </c>
    </row>
    <row r="297" spans="1:8" ht="13.5" customHeight="1" outlineLevel="1">
      <c r="A297" s="45" t="str">
        <f>'Приложение 2'!A299</f>
        <v>Непрограммные расходы органов местного самоуправления Алексеевского муниципального района</v>
      </c>
      <c r="B297" s="72" t="str">
        <f>'Приложение 2'!C299</f>
        <v>1003</v>
      </c>
      <c r="C297" s="72" t="str">
        <f>'Приложение 2'!D299</f>
        <v>99</v>
      </c>
      <c r="D297" s="72">
        <f>'Приложение 2'!E299</f>
        <v>0</v>
      </c>
      <c r="E297" s="72"/>
      <c r="F297" s="58">
        <f>'Приложение 2'!G299</f>
        <v>15078.622</v>
      </c>
      <c r="G297" s="58">
        <f>'Приложение 2'!H299</f>
        <v>14346.92179</v>
      </c>
      <c r="H297" s="64">
        <f t="shared" si="4"/>
        <v>95.14743316730136</v>
      </c>
    </row>
    <row r="298" spans="1:8" ht="12.75" outlineLevel="1">
      <c r="A298" s="45" t="str">
        <f>'Приложение 2'!A300</f>
        <v>Резервный фонд Администрации Волгоградской области</v>
      </c>
      <c r="B298" s="72" t="str">
        <f>'Приложение 2'!C300</f>
        <v>1003</v>
      </c>
      <c r="C298" s="72" t="str">
        <f>'Приложение 2'!D300</f>
        <v>99</v>
      </c>
      <c r="D298" s="72">
        <f>'Приложение 2'!E300</f>
        <v>0</v>
      </c>
      <c r="E298" s="72"/>
      <c r="F298" s="58">
        <f>'Приложение 2'!G300</f>
        <v>3054</v>
      </c>
      <c r="G298" s="58">
        <f>'Приложение 2'!H300</f>
        <v>3000</v>
      </c>
      <c r="H298" s="64">
        <f t="shared" si="4"/>
        <v>98.23182711198429</v>
      </c>
    </row>
    <row r="299" spans="1:8" ht="12.75" customHeight="1" outlineLevel="1">
      <c r="A299" s="45" t="str">
        <f>'Приложение 2'!A301</f>
        <v>Социальное обеспечение и иные выплаты населению</v>
      </c>
      <c r="B299" s="72" t="str">
        <f>'Приложение 2'!C301</f>
        <v>1003</v>
      </c>
      <c r="C299" s="72" t="str">
        <f>'Приложение 2'!D301</f>
        <v>99</v>
      </c>
      <c r="D299" s="72">
        <f>'Приложение 2'!E301</f>
        <v>0</v>
      </c>
      <c r="E299" s="72">
        <f>'Приложение 2'!F301</f>
        <v>300</v>
      </c>
      <c r="F299" s="58">
        <f>'Приложение 2'!G301</f>
        <v>3054</v>
      </c>
      <c r="G299" s="58">
        <f>'Приложение 2'!H301</f>
        <v>3000</v>
      </c>
      <c r="H299" s="64">
        <f t="shared" si="4"/>
        <v>98.23182711198429</v>
      </c>
    </row>
    <row r="300" spans="1:8" ht="24" hidden="1" outlineLevel="1">
      <c r="A300" s="45" t="str">
        <f>'Приложение 2'!A302</f>
        <v>Закупка товаров, работ и услуг для государственных (муниципальных) нужд</v>
      </c>
      <c r="B300" s="72" t="str">
        <f>'Приложение 2'!C302</f>
        <v>1003</v>
      </c>
      <c r="C300" s="72" t="str">
        <f>'Приложение 2'!D302</f>
        <v>99</v>
      </c>
      <c r="D300" s="72">
        <f>'Приложение 2'!E302</f>
        <v>0</v>
      </c>
      <c r="E300" s="72">
        <f>'Приложение 2'!F302</f>
        <v>200</v>
      </c>
      <c r="F300" s="58">
        <f>'Приложение 2'!G302</f>
        <v>0</v>
      </c>
      <c r="G300" s="58">
        <f>'Приложение 2'!H302</f>
        <v>0</v>
      </c>
      <c r="H300" s="64" t="e">
        <f t="shared" si="4"/>
        <v>#DIV/0!</v>
      </c>
    </row>
    <row r="301" spans="1:8" ht="72.75" customHeight="1" outlineLevel="1">
      <c r="A301" s="45" t="str">
        <f>'Приложение 2'!A303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1" s="72" t="str">
        <f>'Приложение 2'!C303</f>
        <v>1003</v>
      </c>
      <c r="C301" s="72" t="str">
        <f>'Приложение 2'!D303</f>
        <v>99</v>
      </c>
      <c r="D301" s="72">
        <f>'Приложение 2'!E303</f>
        <v>0</v>
      </c>
      <c r="E301" s="72"/>
      <c r="F301" s="58">
        <f>'Приложение 2'!G303</f>
        <v>7981.122</v>
      </c>
      <c r="G301" s="58">
        <f>'Приложение 2'!H303</f>
        <v>7981.108</v>
      </c>
      <c r="H301" s="64">
        <f t="shared" si="4"/>
        <v>99.99982458606696</v>
      </c>
    </row>
    <row r="302" spans="1:8" ht="16.5" customHeight="1" outlineLevel="2">
      <c r="A302" s="45" t="str">
        <f>'Приложение 2'!A304</f>
        <v>Социальное обеспечение и иные выплаты населению</v>
      </c>
      <c r="B302" s="72" t="str">
        <f>'Приложение 2'!C304</f>
        <v>1003</v>
      </c>
      <c r="C302" s="72" t="str">
        <f>'Приложение 2'!D304</f>
        <v>99</v>
      </c>
      <c r="D302" s="72">
        <f>'Приложение 2'!E304</f>
        <v>0</v>
      </c>
      <c r="E302" s="72">
        <f>'Приложение 2'!F304</f>
        <v>300</v>
      </c>
      <c r="F302" s="58">
        <f>'Приложение 2'!G304</f>
        <v>7902.08093</v>
      </c>
      <c r="G302" s="58">
        <f>'Приложение 2'!H304</f>
        <v>7902.08093</v>
      </c>
      <c r="H302" s="64">
        <f t="shared" si="4"/>
        <v>100</v>
      </c>
    </row>
    <row r="303" spans="1:8" ht="24.75" customHeight="1" outlineLevel="3">
      <c r="A303" s="45" t="str">
        <f>'Приложение 2'!A305</f>
        <v>Закупка товаров, работ и услуг для государственных (муниципальных) нужд</v>
      </c>
      <c r="B303" s="72" t="str">
        <f>'Приложение 2'!C305</f>
        <v>1003</v>
      </c>
      <c r="C303" s="72" t="str">
        <f>'Приложение 2'!D305</f>
        <v>99</v>
      </c>
      <c r="D303" s="72">
        <f>'Приложение 2'!E305</f>
        <v>0</v>
      </c>
      <c r="E303" s="72">
        <f>'Приложение 2'!F305</f>
        <v>200</v>
      </c>
      <c r="F303" s="58">
        <f>'Приложение 2'!G305</f>
        <v>79.04106999999999</v>
      </c>
      <c r="G303" s="58">
        <f>'Приложение 2'!H305</f>
        <v>79.02707</v>
      </c>
      <c r="H303" s="64">
        <f t="shared" si="4"/>
        <v>99.98228768917224</v>
      </c>
    </row>
    <row r="304" spans="1:8" ht="73.5" customHeight="1">
      <c r="A304" s="45" t="str">
        <f>'Приложение 2'!A306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304" s="72" t="str">
        <f>'Приложение 2'!C306</f>
        <v>1003</v>
      </c>
      <c r="C304" s="72" t="str">
        <f>'Приложение 2'!D306</f>
        <v>99</v>
      </c>
      <c r="D304" s="72">
        <f>'Приложение 2'!E306</f>
        <v>0</v>
      </c>
      <c r="E304" s="72">
        <f>'Приложение 2'!F306</f>
        <v>300</v>
      </c>
      <c r="F304" s="58">
        <f>'Приложение 2'!G306</f>
        <v>973.5</v>
      </c>
      <c r="G304" s="58">
        <f>'Приложение 2'!H306</f>
        <v>512.25034</v>
      </c>
      <c r="H304" s="64">
        <f t="shared" si="4"/>
        <v>52.619449409347716</v>
      </c>
    </row>
    <row r="305" spans="1:8" ht="72" outlineLevel="1">
      <c r="A305" s="45" t="str">
        <f>'Приложение 2'!A307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305" s="72" t="str">
        <f>'Приложение 2'!C307</f>
        <v>1003</v>
      </c>
      <c r="C305" s="72" t="str">
        <f>'Приложение 2'!D307</f>
        <v>99</v>
      </c>
      <c r="D305" s="72">
        <f>'Приложение 2'!E307</f>
        <v>0</v>
      </c>
      <c r="E305" s="72">
        <f>'Приложение 2'!F307</f>
        <v>300</v>
      </c>
      <c r="F305" s="58">
        <f>'Приложение 2'!G307</f>
        <v>20</v>
      </c>
      <c r="G305" s="58">
        <f>'Приложение 2'!H307</f>
        <v>20</v>
      </c>
      <c r="H305" s="64">
        <f t="shared" si="4"/>
        <v>100</v>
      </c>
    </row>
    <row r="306" spans="1:8" ht="90" customHeight="1" outlineLevel="1">
      <c r="A306" s="45" t="str">
        <f>'Приложение 2'!A308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306" s="72" t="str">
        <f>'Приложение 2'!C308</f>
        <v>1003</v>
      </c>
      <c r="C306" s="72" t="str">
        <f>'Приложение 2'!D308</f>
        <v>99</v>
      </c>
      <c r="D306" s="72">
        <f>'Приложение 2'!E308</f>
        <v>0</v>
      </c>
      <c r="E306" s="72">
        <f>'Приложение 2'!F308</f>
        <v>300</v>
      </c>
      <c r="F306" s="58">
        <f>'Приложение 2'!G308</f>
        <v>3050</v>
      </c>
      <c r="G306" s="58">
        <f>'Приложение 2'!H308</f>
        <v>2833.56345</v>
      </c>
      <c r="H306" s="64">
        <f t="shared" si="4"/>
        <v>92.90371967213115</v>
      </c>
    </row>
    <row r="307" spans="1:8" ht="12.75" outlineLevel="1">
      <c r="A307" s="45" t="str">
        <f>'Приложение 2'!A309</f>
        <v>Охрана семьи и детства</v>
      </c>
      <c r="B307" s="72" t="str">
        <f>'Приложение 2'!C309</f>
        <v>1004</v>
      </c>
      <c r="C307" s="72"/>
      <c r="D307" s="72"/>
      <c r="E307" s="72"/>
      <c r="F307" s="58">
        <f>'Приложение 2'!G309</f>
        <v>6695.299999999999</v>
      </c>
      <c r="G307" s="58">
        <f>'Приложение 2'!H309</f>
        <v>6695.299999999999</v>
      </c>
      <c r="H307" s="64">
        <f t="shared" si="4"/>
        <v>100</v>
      </c>
    </row>
    <row r="308" spans="1:8" ht="27" customHeight="1" hidden="1" outlineLevel="1">
      <c r="A308" s="45" t="str">
        <f>'Приложение 2'!A310</f>
        <v>Муниципальная программа "Молодой семье – доступное жилье на территории Алексеевского муниципального района на 2019-2020 годы"</v>
      </c>
      <c r="B308" s="72" t="str">
        <f>'Приложение 2'!C310</f>
        <v>1004</v>
      </c>
      <c r="C308" s="72" t="str">
        <f>'Приложение 2'!D310</f>
        <v>11</v>
      </c>
      <c r="D308" s="72">
        <f>'Приложение 2'!E310</f>
        <v>0</v>
      </c>
      <c r="E308" s="72"/>
      <c r="F308" s="58">
        <f>'Приложение 2'!G310</f>
        <v>0</v>
      </c>
      <c r="G308" s="58">
        <f>'Приложение 2'!H310</f>
        <v>0</v>
      </c>
      <c r="H308" s="64" t="e">
        <f t="shared" si="4"/>
        <v>#DIV/0!</v>
      </c>
    </row>
    <row r="309" spans="1:8" ht="21.75" customHeight="1" hidden="1" outlineLevel="5">
      <c r="A309" s="45" t="str">
        <f>'Приложение 2'!A311</f>
        <v>Социальное обеспечение и иные выплаты населению</v>
      </c>
      <c r="B309" s="72" t="str">
        <f>'Приложение 2'!C311</f>
        <v>1004</v>
      </c>
      <c r="C309" s="72" t="str">
        <f>'Приложение 2'!D311</f>
        <v>11</v>
      </c>
      <c r="D309" s="72">
        <f>'Приложение 2'!E311</f>
        <v>0</v>
      </c>
      <c r="E309" s="72">
        <f>'Приложение 2'!F311</f>
        <v>300</v>
      </c>
      <c r="F309" s="58">
        <f>'Приложение 2'!G311</f>
        <v>0</v>
      </c>
      <c r="G309" s="58">
        <f>'Приложение 2'!H311</f>
        <v>0</v>
      </c>
      <c r="H309" s="64" t="e">
        <f t="shared" si="4"/>
        <v>#DIV/0!</v>
      </c>
    </row>
    <row r="310" spans="1:8" ht="16.5" customHeight="1" outlineLevel="5">
      <c r="A310" s="45" t="str">
        <f>'Приложение 2'!A312</f>
        <v>Непрограммные расходы органов местного самоуправления Алексеевского муниципального района</v>
      </c>
      <c r="B310" s="72" t="str">
        <f>'Приложение 2'!C312</f>
        <v>1004</v>
      </c>
      <c r="C310" s="72" t="str">
        <f>'Приложение 2'!D312</f>
        <v>99</v>
      </c>
      <c r="D310" s="72">
        <f>'Приложение 2'!E312</f>
        <v>0</v>
      </c>
      <c r="E310" s="72"/>
      <c r="F310" s="58">
        <f>'Приложение 2'!G312</f>
        <v>6695.299999999999</v>
      </c>
      <c r="G310" s="58">
        <f>'Приложение 2'!H312</f>
        <v>6695.299999999999</v>
      </c>
      <c r="H310" s="64">
        <f t="shared" si="4"/>
        <v>100</v>
      </c>
    </row>
    <row r="311" spans="1:8" ht="27" customHeight="1" outlineLevel="2">
      <c r="A311" s="45" t="str">
        <f>'Приложение 2'!A313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11" s="72" t="str">
        <f>'Приложение 2'!C313</f>
        <v>1004</v>
      </c>
      <c r="C311" s="72" t="str">
        <f>'Приложение 2'!D313</f>
        <v>99</v>
      </c>
      <c r="D311" s="72">
        <f>'Приложение 2'!E313</f>
        <v>0</v>
      </c>
      <c r="E311" s="72"/>
      <c r="F311" s="58">
        <f>'Приложение 2'!G313</f>
        <v>120.00000000000004</v>
      </c>
      <c r="G311" s="58">
        <f>'Приложение 2'!H313</f>
        <v>120.00000000000004</v>
      </c>
      <c r="H311" s="64">
        <f t="shared" si="4"/>
        <v>100</v>
      </c>
    </row>
    <row r="312" spans="1:8" ht="14.25" customHeight="1" outlineLevel="3">
      <c r="A312" s="45" t="str">
        <f>'Приложение 2'!A314</f>
        <v>Социальное обеспечение и иные выплаты населению</v>
      </c>
      <c r="B312" s="72" t="str">
        <f>'Приложение 2'!C314</f>
        <v>1004</v>
      </c>
      <c r="C312" s="72" t="str">
        <f>'Приложение 2'!D314</f>
        <v>99</v>
      </c>
      <c r="D312" s="72">
        <f>'Приложение 2'!E314</f>
        <v>0</v>
      </c>
      <c r="E312" s="72">
        <f>'Приложение 2'!F314</f>
        <v>300</v>
      </c>
      <c r="F312" s="58">
        <f>'Приложение 2'!G314</f>
        <v>118.81190000000004</v>
      </c>
      <c r="G312" s="58">
        <f>'Приложение 2'!H314</f>
        <v>118.81190000000004</v>
      </c>
      <c r="H312" s="64">
        <f t="shared" si="4"/>
        <v>100</v>
      </c>
    </row>
    <row r="313" spans="1:8" ht="24" outlineLevel="2">
      <c r="A313" s="45" t="str">
        <f>'Приложение 2'!A315</f>
        <v>Закупка товаров, работ и услуг для государственных (муниципальных) нужд</v>
      </c>
      <c r="B313" s="72" t="str">
        <f>'Приложение 2'!C315</f>
        <v>1004</v>
      </c>
      <c r="C313" s="72" t="str">
        <f>'Приложение 2'!D315</f>
        <v>99</v>
      </c>
      <c r="D313" s="72">
        <f>'Приложение 2'!E315</f>
        <v>0</v>
      </c>
      <c r="E313" s="72">
        <f>'Приложение 2'!F315</f>
        <v>200</v>
      </c>
      <c r="F313" s="58">
        <f>'Приложение 2'!G315</f>
        <v>1.1881000000000004</v>
      </c>
      <c r="G313" s="58">
        <f>'Приложение 2'!H315</f>
        <v>1.1881000000000004</v>
      </c>
      <c r="H313" s="64">
        <f t="shared" si="4"/>
        <v>100</v>
      </c>
    </row>
    <row r="314" spans="1:8" ht="75.75" customHeight="1" outlineLevel="3">
      <c r="A314" s="45" t="str">
        <f>'Приложение 2'!A316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14" s="72" t="str">
        <f>'Приложение 2'!C316</f>
        <v>1004</v>
      </c>
      <c r="C314" s="72" t="str">
        <f>'Приложение 2'!D316</f>
        <v>99</v>
      </c>
      <c r="D314" s="72">
        <f>'Приложение 2'!E316</f>
        <v>0</v>
      </c>
      <c r="E314" s="72"/>
      <c r="F314" s="58">
        <f>'Приложение 2'!G316</f>
        <v>6575.299999999999</v>
      </c>
      <c r="G314" s="58">
        <f>'Приложение 2'!H316</f>
        <v>6575.299999999999</v>
      </c>
      <c r="H314" s="64">
        <f t="shared" si="4"/>
        <v>100</v>
      </c>
    </row>
    <row r="315" spans="1:8" ht="15" customHeight="1" outlineLevel="3">
      <c r="A315" s="45" t="str">
        <f>'Приложение 2'!A317</f>
        <v>на выплату пособий по опеке и попечительству</v>
      </c>
      <c r="B315" s="72" t="str">
        <f>'Приложение 2'!C317</f>
        <v>1004</v>
      </c>
      <c r="C315" s="72" t="str">
        <f>'Приложение 2'!D317</f>
        <v>99</v>
      </c>
      <c r="D315" s="72">
        <f>'Приложение 2'!E317</f>
        <v>0</v>
      </c>
      <c r="E315" s="72">
        <f>'Приложение 2'!F317</f>
        <v>300</v>
      </c>
      <c r="F315" s="58">
        <f>'Приложение 2'!G317</f>
        <v>4992.9</v>
      </c>
      <c r="G315" s="58">
        <f>'Приложение 2'!H317</f>
        <v>4992.9</v>
      </c>
      <c r="H315" s="64">
        <f t="shared" si="4"/>
        <v>100</v>
      </c>
    </row>
    <row r="316" spans="1:8" ht="27" customHeight="1" outlineLevel="3">
      <c r="A316" s="45" t="str">
        <f>'Приложение 2'!A318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16" s="72" t="str">
        <f>'Приложение 2'!C318</f>
        <v>1004</v>
      </c>
      <c r="C316" s="72" t="str">
        <f>'Приложение 2'!D318</f>
        <v>99</v>
      </c>
      <c r="D316" s="72">
        <f>'Приложение 2'!E318</f>
        <v>0</v>
      </c>
      <c r="E316" s="72">
        <f>'Приложение 2'!F318</f>
        <v>300</v>
      </c>
      <c r="F316" s="58">
        <f>'Приложение 2'!G318</f>
        <v>1582.4</v>
      </c>
      <c r="G316" s="58">
        <f>'Приложение 2'!H318</f>
        <v>1582.4</v>
      </c>
      <c r="H316" s="64">
        <f t="shared" si="4"/>
        <v>100</v>
      </c>
    </row>
    <row r="317" spans="1:8" ht="50.25" customHeight="1" outlineLevel="3">
      <c r="A317" s="45" t="str">
        <f>'Приложение 2'!A319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17" s="72" t="str">
        <f>'Приложение 2'!C319</f>
        <v>1004</v>
      </c>
      <c r="C317" s="72" t="str">
        <f>'Приложение 2'!D319</f>
        <v>99</v>
      </c>
      <c r="D317" s="72">
        <f>'Приложение 2'!E319</f>
        <v>0</v>
      </c>
      <c r="E317" s="72"/>
      <c r="F317" s="58">
        <f>'Приложение 2'!G319</f>
        <v>-2.0095036745715333E-14</v>
      </c>
      <c r="G317" s="58">
        <f>'Приложение 2'!H319</f>
        <v>-2.0095036745715333E-14</v>
      </c>
      <c r="H317" s="64">
        <f t="shared" si="4"/>
        <v>100</v>
      </c>
    </row>
    <row r="318" spans="1:8" ht="27" customHeight="1" outlineLevel="3">
      <c r="A318" s="45" t="str">
        <f>'Приложение 2'!A320</f>
        <v>Закупка товаров, работ и услуг для государственных (муниципальных) нужд</v>
      </c>
      <c r="B318" s="72" t="str">
        <f>'Приложение 2'!C320</f>
        <v>1004</v>
      </c>
      <c r="C318" s="72" t="str">
        <f>'Приложение 2'!D320</f>
        <v>99</v>
      </c>
      <c r="D318" s="72">
        <f>'Приложение 2'!E320</f>
        <v>0</v>
      </c>
      <c r="E318" s="72">
        <f>'Приложение 2'!F320</f>
        <v>200</v>
      </c>
      <c r="F318" s="58">
        <f>'Приложение 2'!G320</f>
        <v>-2.0095036745715333E-14</v>
      </c>
      <c r="G318" s="58">
        <f>'Приложение 2'!H320</f>
        <v>-2.0095036745715333E-14</v>
      </c>
      <c r="H318" s="64">
        <f t="shared" si="4"/>
        <v>100</v>
      </c>
    </row>
    <row r="319" spans="1:8" ht="19.5" customHeight="1" outlineLevel="3">
      <c r="A319" s="45" t="str">
        <f>'Приложение 2'!A321</f>
        <v>Другие вопросы в области социальной политики</v>
      </c>
      <c r="B319" s="72" t="str">
        <f>'Приложение 2'!C321</f>
        <v>1006</v>
      </c>
      <c r="C319" s="72">
        <f>'Приложение 2'!D321</f>
        <v>0</v>
      </c>
      <c r="D319" s="72">
        <f>'Приложение 2'!E321</f>
        <v>0</v>
      </c>
      <c r="E319" s="72">
        <f>'Приложение 2'!F321</f>
        <v>0</v>
      </c>
      <c r="F319" s="58">
        <f>'Приложение 2'!G321</f>
        <v>983.8779999999999</v>
      </c>
      <c r="G319" s="58">
        <f>'Приложение 2'!H321</f>
        <v>983.8779999999999</v>
      </c>
      <c r="H319" s="64">
        <f t="shared" si="4"/>
        <v>100</v>
      </c>
    </row>
    <row r="320" spans="1:8" ht="24" customHeight="1" outlineLevel="3">
      <c r="A320" s="45" t="str">
        <f>'Приложение 2'!A322</f>
        <v>Непрограммные расходы органов местного самоуправления Алексеевского муниципального района</v>
      </c>
      <c r="B320" s="72" t="str">
        <f>'Приложение 2'!C322</f>
        <v>1006</v>
      </c>
      <c r="C320" s="72" t="str">
        <f>'Приложение 2'!D322</f>
        <v>99</v>
      </c>
      <c r="D320" s="72">
        <f>'Приложение 2'!E322</f>
        <v>0</v>
      </c>
      <c r="E320" s="72">
        <f>'Приложение 2'!F322</f>
        <v>0</v>
      </c>
      <c r="F320" s="58">
        <f>'Приложение 2'!G322</f>
        <v>983.8779999999999</v>
      </c>
      <c r="G320" s="58">
        <f>'Приложение 2'!H322</f>
        <v>983.8779999999999</v>
      </c>
      <c r="H320" s="64">
        <f t="shared" si="4"/>
        <v>100</v>
      </c>
    </row>
    <row r="321" spans="1:8" ht="52.5" customHeight="1" outlineLevel="3">
      <c r="A321" s="45" t="str">
        <f>'Приложение 2'!A323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21" s="72" t="str">
        <f>'Приложение 2'!C323</f>
        <v>1006</v>
      </c>
      <c r="C321" s="72" t="str">
        <f>'Приложение 2'!D323</f>
        <v>99</v>
      </c>
      <c r="D321" s="72">
        <f>'Приложение 2'!E323</f>
        <v>0</v>
      </c>
      <c r="E321" s="72">
        <f>'Приложение 2'!F323</f>
        <v>0</v>
      </c>
      <c r="F321" s="58">
        <f>'Приложение 2'!G323</f>
        <v>983.8779999999999</v>
      </c>
      <c r="G321" s="58">
        <f>'Приложение 2'!H323</f>
        <v>983.8779999999999</v>
      </c>
      <c r="H321" s="64">
        <f t="shared" si="4"/>
        <v>100</v>
      </c>
    </row>
    <row r="322" spans="1:8" ht="25.5" customHeight="1" outlineLevel="2">
      <c r="A322" s="45" t="str">
        <f>'Приложение 2'!A324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2" s="72" t="str">
        <f>'Приложение 2'!C324</f>
        <v>1006</v>
      </c>
      <c r="C322" s="72" t="str">
        <f>'Приложение 2'!D324</f>
        <v>99</v>
      </c>
      <c r="D322" s="72">
        <f>'Приложение 2'!E324</f>
        <v>0</v>
      </c>
      <c r="E322" s="72">
        <f>'Приложение 2'!F324</f>
        <v>100</v>
      </c>
      <c r="F322" s="58">
        <f>'Приложение 2'!G324</f>
        <v>923.9739799999999</v>
      </c>
      <c r="G322" s="58">
        <f>'Приложение 2'!H324</f>
        <v>923.9739799999999</v>
      </c>
      <c r="H322" s="64">
        <f t="shared" si="4"/>
        <v>100</v>
      </c>
    </row>
    <row r="323" spans="1:8" ht="15.75" customHeight="1" outlineLevel="2">
      <c r="A323" s="45" t="str">
        <f>'Приложение 2'!A325</f>
        <v>Закупка товаров, работ и услуг для государственных (муниципальных) нужд</v>
      </c>
      <c r="B323" s="72" t="str">
        <f>'Приложение 2'!C325</f>
        <v>1006</v>
      </c>
      <c r="C323" s="72" t="str">
        <f>'Приложение 2'!D325</f>
        <v>99</v>
      </c>
      <c r="D323" s="72">
        <f>'Приложение 2'!E325</f>
        <v>0</v>
      </c>
      <c r="E323" s="72">
        <f>'Приложение 2'!F325</f>
        <v>200</v>
      </c>
      <c r="F323" s="58">
        <f>'Приложение 2'!G325</f>
        <v>59.90402</v>
      </c>
      <c r="G323" s="58">
        <f>'Приложение 2'!H325</f>
        <v>59.90402</v>
      </c>
      <c r="H323" s="64">
        <f t="shared" si="4"/>
        <v>100</v>
      </c>
    </row>
    <row r="324" spans="1:8" ht="15.75" customHeight="1" outlineLevel="2">
      <c r="A324" s="45" t="str">
        <f>'Приложение 2'!A326</f>
        <v>Физическая культура и спорт</v>
      </c>
      <c r="B324" s="72" t="str">
        <f>'Приложение 2'!C326</f>
        <v>1100</v>
      </c>
      <c r="C324" s="72"/>
      <c r="D324" s="72"/>
      <c r="E324" s="72"/>
      <c r="F324" s="58">
        <f>'Приложение 2'!G326</f>
        <v>371.6338</v>
      </c>
      <c r="G324" s="58">
        <f>'Приложение 2'!H326</f>
        <v>371.6338</v>
      </c>
      <c r="H324" s="64">
        <f t="shared" si="4"/>
        <v>100</v>
      </c>
    </row>
    <row r="325" spans="1:8" ht="15.75" customHeight="1" hidden="1" outlineLevel="2">
      <c r="A325" s="45" t="str">
        <f>'Приложение 2'!A327</f>
        <v>Физическая культура </v>
      </c>
      <c r="B325" s="72" t="str">
        <f>'Приложение 2'!C327</f>
        <v>1101</v>
      </c>
      <c r="C325" s="72"/>
      <c r="D325" s="72"/>
      <c r="E325" s="72"/>
      <c r="F325" s="58">
        <f>'Приложение 2'!G327</f>
        <v>0</v>
      </c>
      <c r="G325" s="58">
        <f>'Приложение 2'!H327</f>
        <v>0</v>
      </c>
      <c r="H325" s="64" t="e">
        <f t="shared" si="4"/>
        <v>#DIV/0!</v>
      </c>
    </row>
    <row r="326" spans="1:8" ht="26.25" customHeight="1" hidden="1" outlineLevel="2">
      <c r="A326" s="45" t="str">
        <f>'Приложение 2'!A328</f>
        <v>Муниципальная программа "Комплексное развитие сельских территорий"</v>
      </c>
      <c r="B326" s="72" t="str">
        <f>'Приложение 2'!C328</f>
        <v>1101</v>
      </c>
      <c r="C326" s="72" t="str">
        <f>'Приложение 2'!D328</f>
        <v>03</v>
      </c>
      <c r="D326" s="72">
        <f>'Приложение 2'!E328</f>
        <v>0</v>
      </c>
      <c r="E326" s="72"/>
      <c r="F326" s="58">
        <f>'Приложение 2'!G328</f>
        <v>0</v>
      </c>
      <c r="G326" s="58">
        <f>'Приложение 2'!H328</f>
        <v>0</v>
      </c>
      <c r="H326" s="64" t="e">
        <f t="shared" si="4"/>
        <v>#DIV/0!</v>
      </c>
    </row>
    <row r="327" spans="1:8" ht="15.75" customHeight="1" hidden="1" outlineLevel="2">
      <c r="A327" s="45" t="str">
        <f>'Приложение 2'!A329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27" s="72" t="str">
        <f>'Приложение 2'!C329</f>
        <v>1101</v>
      </c>
      <c r="C327" s="72" t="str">
        <f>'Приложение 2'!D329</f>
        <v>03</v>
      </c>
      <c r="D327" s="72">
        <f>'Приложение 2'!E329</f>
        <v>0</v>
      </c>
      <c r="E327" s="72">
        <f>'Приложение 2'!F329</f>
        <v>400</v>
      </c>
      <c r="F327" s="58">
        <f>'Приложение 2'!G329</f>
        <v>0</v>
      </c>
      <c r="G327" s="58">
        <f>'Приложение 2'!H329</f>
        <v>0</v>
      </c>
      <c r="H327" s="64" t="e">
        <f t="shared" si="4"/>
        <v>#DIV/0!</v>
      </c>
    </row>
    <row r="328" spans="1:8" ht="15.75" customHeight="1" hidden="1" outlineLevel="2">
      <c r="A328" s="45" t="str">
        <f>'Приложение 2'!A330</f>
        <v>Капитальные вложения в объекты государственной (муниципальной) собственности (софинансирование)</v>
      </c>
      <c r="B328" s="72" t="str">
        <f>'Приложение 2'!C330</f>
        <v>1101</v>
      </c>
      <c r="C328" s="72" t="str">
        <f>'Приложение 2'!D330</f>
        <v>03</v>
      </c>
      <c r="D328" s="72">
        <f>'Приложение 2'!E330</f>
        <v>0</v>
      </c>
      <c r="E328" s="72">
        <f>'Приложение 2'!F330</f>
        <v>400</v>
      </c>
      <c r="F328" s="58">
        <f>'Приложение 2'!G330</f>
        <v>0</v>
      </c>
      <c r="G328" s="58">
        <f>'Приложение 2'!H330</f>
        <v>0</v>
      </c>
      <c r="H328" s="64" t="e">
        <f t="shared" si="4"/>
        <v>#DIV/0!</v>
      </c>
    </row>
    <row r="329" spans="1:8" ht="12.75" hidden="1" outlineLevel="2">
      <c r="A329" s="45" t="str">
        <f>'Приложение 2'!A331</f>
        <v>Массовый спорт</v>
      </c>
      <c r="B329" s="72" t="str">
        <f>'Приложение 2'!C331</f>
        <v>1102</v>
      </c>
      <c r="C329" s="72"/>
      <c r="D329" s="72"/>
      <c r="E329" s="72"/>
      <c r="F329" s="58">
        <f>'Приложение 2'!G331</f>
        <v>0</v>
      </c>
      <c r="G329" s="58">
        <f>'Приложение 2'!H331</f>
        <v>0</v>
      </c>
      <c r="H329" s="64" t="e">
        <f t="shared" si="4"/>
        <v>#DIV/0!</v>
      </c>
    </row>
    <row r="330" spans="1:8" ht="36" hidden="1" outlineLevel="2">
      <c r="A330" s="45" t="str">
        <f>'Приложение 2'!A332</f>
        <v>Муниципальная программа "Развитие физической культуры и спорта в Алексеевском муниципальном районе на 2019-2023 годы"</v>
      </c>
      <c r="B330" s="72" t="str">
        <f>'Приложение 2'!C332</f>
        <v>1102</v>
      </c>
      <c r="C330" s="72" t="str">
        <f>'Приложение 2'!D332</f>
        <v>17</v>
      </c>
      <c r="D330" s="72">
        <f>'Приложение 2'!E332</f>
        <v>0</v>
      </c>
      <c r="E330" s="72"/>
      <c r="F330" s="58">
        <f>'Приложение 2'!G332</f>
        <v>0</v>
      </c>
      <c r="G330" s="58">
        <f>'Приложение 2'!H332</f>
        <v>0</v>
      </c>
      <c r="H330" s="64" t="e">
        <f aca="true" t="shared" si="5" ref="H330:H349">SUM(G330/F330)*100</f>
        <v>#DIV/0!</v>
      </c>
    </row>
    <row r="331" spans="1:8" ht="36" hidden="1" outlineLevel="2">
      <c r="A331" s="45" t="str">
        <f>'Приложение 2'!A333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31" s="72" t="str">
        <f>'Приложение 2'!C333</f>
        <v>1102</v>
      </c>
      <c r="C331" s="72" t="str">
        <f>'Приложение 2'!D333</f>
        <v>17</v>
      </c>
      <c r="D331" s="72">
        <f>'Приложение 2'!E333</f>
        <v>0</v>
      </c>
      <c r="E331" s="72">
        <f>'Приложение 2'!F333</f>
        <v>400</v>
      </c>
      <c r="F331" s="58">
        <f>'Приложение 2'!G333</f>
        <v>0</v>
      </c>
      <c r="G331" s="58">
        <f>'Приложение 2'!H333</f>
        <v>0</v>
      </c>
      <c r="H331" s="64" t="e">
        <f t="shared" si="5"/>
        <v>#DIV/0!</v>
      </c>
    </row>
    <row r="332" spans="1:8" ht="24" hidden="1" outlineLevel="3">
      <c r="A332" s="45" t="str">
        <f>'Приложение 2'!A334</f>
        <v>Капитальные вложения в объекты государственной (муниципальной) собственности</v>
      </c>
      <c r="B332" s="72" t="str">
        <f>'Приложение 2'!C334</f>
        <v>1102</v>
      </c>
      <c r="C332" s="72" t="str">
        <f>'Приложение 2'!D334</f>
        <v>17</v>
      </c>
      <c r="D332" s="72">
        <f>'Приложение 2'!E334</f>
        <v>0</v>
      </c>
      <c r="E332" s="72">
        <f>'Приложение 2'!F334</f>
        <v>400</v>
      </c>
      <c r="F332" s="58">
        <f>'Приложение 2'!G334</f>
        <v>0</v>
      </c>
      <c r="G332" s="58">
        <f>'Приложение 2'!H334</f>
        <v>0</v>
      </c>
      <c r="H332" s="64" t="e">
        <f t="shared" si="5"/>
        <v>#DIV/0!</v>
      </c>
    </row>
    <row r="333" spans="1:8" ht="19.5" customHeight="1" outlineLevel="3">
      <c r="A333" s="45" t="str">
        <f>'Приложение 2'!A335</f>
        <v>Другие вопросы в области физической культуры и спорта</v>
      </c>
      <c r="B333" s="72" t="str">
        <f>'Приложение 2'!C335</f>
        <v>1105</v>
      </c>
      <c r="C333" s="72"/>
      <c r="D333" s="72"/>
      <c r="E333" s="72"/>
      <c r="F333" s="58">
        <f>'Приложение 2'!G335</f>
        <v>371.6338</v>
      </c>
      <c r="G333" s="58">
        <f>'Приложение 2'!H335</f>
        <v>371.6338</v>
      </c>
      <c r="H333" s="64">
        <f t="shared" si="5"/>
        <v>100</v>
      </c>
    </row>
    <row r="334" spans="1:8" ht="27" customHeight="1" outlineLevel="3">
      <c r="A334" s="45" t="str">
        <f>'Приложение 2'!A336</f>
        <v>Муниципальная программа "Развитие физической культуры и спорта в Алексеевском муниципальном районе на 2019-2023 годы"</v>
      </c>
      <c r="B334" s="72" t="str">
        <f>'Приложение 2'!C336</f>
        <v>1105</v>
      </c>
      <c r="C334" s="72" t="str">
        <f>'Приложение 2'!D336</f>
        <v>17</v>
      </c>
      <c r="D334" s="72">
        <f>'Приложение 2'!E336</f>
        <v>0</v>
      </c>
      <c r="E334" s="72"/>
      <c r="F334" s="58">
        <f>'Приложение 2'!G336</f>
        <v>371.6338</v>
      </c>
      <c r="G334" s="58">
        <f>'Приложение 2'!H336</f>
        <v>371.6338</v>
      </c>
      <c r="H334" s="64">
        <f t="shared" si="5"/>
        <v>100</v>
      </c>
    </row>
    <row r="335" spans="1:8" ht="13.5" customHeight="1" outlineLevel="3">
      <c r="A335" s="45" t="str">
        <f>'Приложение 2'!A337</f>
        <v>Закупка товаров, работ и услуг для государственных (муниципальных) нужд</v>
      </c>
      <c r="B335" s="72" t="str">
        <f>'Приложение 2'!C337</f>
        <v>1105</v>
      </c>
      <c r="C335" s="72" t="str">
        <f>'Приложение 2'!D337</f>
        <v>17</v>
      </c>
      <c r="D335" s="72">
        <f>'Приложение 2'!E337</f>
        <v>0</v>
      </c>
      <c r="E335" s="72">
        <f>'Приложение 2'!F337</f>
        <v>200</v>
      </c>
      <c r="F335" s="58">
        <f>'Приложение 2'!G337</f>
        <v>371.6338</v>
      </c>
      <c r="G335" s="58">
        <f>'Приложение 2'!H337</f>
        <v>371.6338</v>
      </c>
      <c r="H335" s="64">
        <f t="shared" si="5"/>
        <v>100</v>
      </c>
    </row>
    <row r="336" spans="1:8" ht="12.75" outlineLevel="1">
      <c r="A336" s="45" t="str">
        <f>'Приложение 2'!A338</f>
        <v>Средства массовой информации </v>
      </c>
      <c r="B336" s="72" t="str">
        <f>'Приложение 2'!C338</f>
        <v>1200</v>
      </c>
      <c r="C336" s="72"/>
      <c r="D336" s="72"/>
      <c r="E336" s="72"/>
      <c r="F336" s="58">
        <f>'Приложение 2'!G338</f>
        <v>2147.7</v>
      </c>
      <c r="G336" s="58">
        <f>'Приложение 2'!H338</f>
        <v>2147.7</v>
      </c>
      <c r="H336" s="64">
        <f t="shared" si="5"/>
        <v>100</v>
      </c>
    </row>
    <row r="337" spans="1:8" ht="16.5" customHeight="1" outlineLevel="2">
      <c r="A337" s="45" t="str">
        <f>'Приложение 2'!A339</f>
        <v>Периодическая печать и издательства</v>
      </c>
      <c r="B337" s="72" t="str">
        <f>'Приложение 2'!C339</f>
        <v>1202</v>
      </c>
      <c r="C337" s="72"/>
      <c r="D337" s="72"/>
      <c r="E337" s="72"/>
      <c r="F337" s="58">
        <f>'Приложение 2'!G339</f>
        <v>2147.7</v>
      </c>
      <c r="G337" s="58">
        <f>'Приложение 2'!H339</f>
        <v>2147.7</v>
      </c>
      <c r="H337" s="64">
        <f t="shared" si="5"/>
        <v>100</v>
      </c>
    </row>
    <row r="338" spans="1:8" ht="36" outlineLevel="2">
      <c r="A338" s="45" t="str">
        <f>'Приложение 2'!A340</f>
        <v>Ведомственная целевая программа "Поддержка средств массовой информации в Алексеевском муниципальном районе на 2022-2024 годы"</v>
      </c>
      <c r="B338" s="72" t="str">
        <f>'Приложение 2'!C340</f>
        <v>1202</v>
      </c>
      <c r="C338" s="72" t="str">
        <f>'Приложение 2'!D340</f>
        <v>61</v>
      </c>
      <c r="D338" s="72">
        <f>'Приложение 2'!E340</f>
        <v>0</v>
      </c>
      <c r="E338" s="72"/>
      <c r="F338" s="58">
        <f>'Приложение 2'!G340</f>
        <v>2147.7</v>
      </c>
      <c r="G338" s="58">
        <f>'Приложение 2'!H340</f>
        <v>2147.7</v>
      </c>
      <c r="H338" s="64">
        <f t="shared" si="5"/>
        <v>100</v>
      </c>
    </row>
    <row r="339" spans="1:8" ht="24" outlineLevel="5">
      <c r="A339" s="45" t="str">
        <f>'Приложение 2'!A341</f>
        <v>Предоставление субсидий бюджетным, автономным учреждениям и иным некоммерческим организациям</v>
      </c>
      <c r="B339" s="72" t="str">
        <f>'Приложение 2'!C341</f>
        <v>1202</v>
      </c>
      <c r="C339" s="72" t="str">
        <f>'Приложение 2'!D341</f>
        <v>61</v>
      </c>
      <c r="D339" s="72">
        <f>'Приложение 2'!E341</f>
        <v>0</v>
      </c>
      <c r="E339" s="72">
        <f>'Приложение 2'!F341</f>
        <v>600</v>
      </c>
      <c r="F339" s="58">
        <f>'Приложение 2'!G341</f>
        <v>1200</v>
      </c>
      <c r="G339" s="58">
        <f>'Приложение 2'!H341</f>
        <v>1200</v>
      </c>
      <c r="H339" s="64">
        <f t="shared" si="5"/>
        <v>100</v>
      </c>
    </row>
    <row r="340" spans="1:8" ht="96" outlineLevel="5">
      <c r="A340" s="45" t="str">
        <f>'Приложение 2'!A342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40" s="72" t="str">
        <f>'Приложение 2'!C342</f>
        <v>1202</v>
      </c>
      <c r="C340" s="72" t="str">
        <f>'Приложение 2'!D342</f>
        <v>61</v>
      </c>
      <c r="D340" s="72">
        <f>'Приложение 2'!E342</f>
        <v>0</v>
      </c>
      <c r="E340" s="72">
        <f>'Приложение 2'!F342</f>
        <v>600</v>
      </c>
      <c r="F340" s="58">
        <f>'Приложение 2'!G342</f>
        <v>947.7</v>
      </c>
      <c r="G340" s="58">
        <f>'Приложение 2'!H342</f>
        <v>947.7</v>
      </c>
      <c r="H340" s="64">
        <f t="shared" si="5"/>
        <v>100</v>
      </c>
    </row>
    <row r="341" spans="1:8" ht="19.5" customHeight="1" outlineLevel="5">
      <c r="A341" s="45" t="str">
        <f>'Приложение 2'!A343</f>
        <v>Обслуживание государственного (муниципального долга)</v>
      </c>
      <c r="B341" s="72" t="str">
        <f>'Приложение 2'!C343</f>
        <v>1300</v>
      </c>
      <c r="C341" s="72"/>
      <c r="D341" s="72"/>
      <c r="E341" s="72"/>
      <c r="F341" s="58">
        <f>'Приложение 2'!G343</f>
        <v>1099.2958800000001</v>
      </c>
      <c r="G341" s="58">
        <f>'Приложение 2'!H343</f>
        <v>1099.2958800000001</v>
      </c>
      <c r="H341" s="64">
        <f t="shared" si="5"/>
        <v>100</v>
      </c>
    </row>
    <row r="342" spans="1:8" ht="28.5" customHeight="1" outlineLevel="5">
      <c r="A342" s="45" t="str">
        <f>'Приложение 2'!A344</f>
        <v>Обслуживание государственного (муниципального) внутреннего долга </v>
      </c>
      <c r="B342" s="72" t="str">
        <f>'Приложение 2'!C344</f>
        <v>1301</v>
      </c>
      <c r="C342" s="72"/>
      <c r="D342" s="72"/>
      <c r="E342" s="72"/>
      <c r="F342" s="58">
        <f>'Приложение 2'!G344</f>
        <v>1099.2958800000001</v>
      </c>
      <c r="G342" s="58">
        <f>'Приложение 2'!H344</f>
        <v>1099.2958800000001</v>
      </c>
      <c r="H342" s="64">
        <f t="shared" si="5"/>
        <v>100</v>
      </c>
    </row>
    <row r="343" spans="1:8" ht="24" outlineLevel="5">
      <c r="A343" s="45" t="str">
        <f>'Приложение 2'!A345</f>
        <v>Непрограммные расходы органов местного самоуправления Алексеевского муниципального района</v>
      </c>
      <c r="B343" s="72" t="str">
        <f>'Приложение 2'!C345</f>
        <v>1301</v>
      </c>
      <c r="C343" s="72" t="str">
        <f>'Приложение 2'!D345</f>
        <v>99</v>
      </c>
      <c r="D343" s="72">
        <f>'Приложение 2'!E345</f>
        <v>0</v>
      </c>
      <c r="E343" s="72"/>
      <c r="F343" s="58">
        <f>'Приложение 2'!G345</f>
        <v>1099.2958800000001</v>
      </c>
      <c r="G343" s="58">
        <f>'Приложение 2'!H345</f>
        <v>1099.2958800000001</v>
      </c>
      <c r="H343" s="64">
        <f t="shared" si="5"/>
        <v>100</v>
      </c>
    </row>
    <row r="344" spans="1:8" ht="20.25" customHeight="1" outlineLevel="5">
      <c r="A344" s="45" t="str">
        <f>'Приложение 2'!A346</f>
        <v>Обслуживание государственного (муниципального) долга</v>
      </c>
      <c r="B344" s="72" t="str">
        <f>'Приложение 2'!C346</f>
        <v>1301</v>
      </c>
      <c r="C344" s="72" t="str">
        <f>'Приложение 2'!D346</f>
        <v>99</v>
      </c>
      <c r="D344" s="72">
        <f>'Приложение 2'!E346</f>
        <v>0</v>
      </c>
      <c r="E344" s="72">
        <f>'Приложение 2'!F346</f>
        <v>700</v>
      </c>
      <c r="F344" s="58">
        <f>'Приложение 2'!G346</f>
        <v>1099.2958800000001</v>
      </c>
      <c r="G344" s="58">
        <f>'Приложение 2'!H346</f>
        <v>1099.2958800000001</v>
      </c>
      <c r="H344" s="64">
        <f t="shared" si="5"/>
        <v>100</v>
      </c>
    </row>
    <row r="345" spans="1:8" ht="30.75" customHeight="1" outlineLevel="5">
      <c r="A345" s="45" t="str">
        <f>'Приложение 2'!A347</f>
        <v>Межбюджетные трансферты общего характера бюджетам бюджетной системы Российской Федерации</v>
      </c>
      <c r="B345" s="72" t="str">
        <f>'Приложение 2'!C347</f>
        <v>1400</v>
      </c>
      <c r="C345" s="72"/>
      <c r="D345" s="72"/>
      <c r="E345" s="72"/>
      <c r="F345" s="58">
        <f>'Приложение 2'!G347</f>
        <v>21884.85879</v>
      </c>
      <c r="G345" s="58">
        <f>'Приложение 2'!H347</f>
        <v>21884.85879</v>
      </c>
      <c r="H345" s="64">
        <f t="shared" si="5"/>
        <v>100</v>
      </c>
    </row>
    <row r="346" spans="1:8" ht="18.75" customHeight="1" outlineLevel="5">
      <c r="A346" s="45" t="str">
        <f>'Приложение 2'!A348</f>
        <v>Прочие межбюджетные трансферты общего характера</v>
      </c>
      <c r="B346" s="72" t="str">
        <f>'Приложение 2'!C348</f>
        <v>1403</v>
      </c>
      <c r="C346" s="72"/>
      <c r="D346" s="72"/>
      <c r="E346" s="72"/>
      <c r="F346" s="58">
        <f>'Приложение 2'!G348</f>
        <v>21884.85879</v>
      </c>
      <c r="G346" s="58">
        <f>'Приложение 2'!H348</f>
        <v>21884.85879</v>
      </c>
      <c r="H346" s="64">
        <f t="shared" si="5"/>
        <v>100</v>
      </c>
    </row>
    <row r="347" spans="1:8" ht="17.25" customHeight="1" outlineLevel="5">
      <c r="A347" s="45" t="str">
        <f>'Приложение 2'!A349</f>
        <v>Непрограммные расходы органов местного самоуправления Алексеевского муниципального района</v>
      </c>
      <c r="B347" s="72" t="str">
        <f>'Приложение 2'!C349</f>
        <v>1403</v>
      </c>
      <c r="C347" s="72" t="str">
        <f>'Приложение 2'!D349</f>
        <v>99</v>
      </c>
      <c r="D347" s="72">
        <f>'Приложение 2'!E349</f>
        <v>0</v>
      </c>
      <c r="E347" s="72"/>
      <c r="F347" s="58">
        <f>'Приложение 2'!G349</f>
        <v>21884.85879</v>
      </c>
      <c r="G347" s="58">
        <f>'Приложение 2'!H349</f>
        <v>21884.85879</v>
      </c>
      <c r="H347" s="64">
        <f t="shared" si="5"/>
        <v>100</v>
      </c>
    </row>
    <row r="348" spans="1:8" ht="12.75">
      <c r="A348" s="45" t="str">
        <f>'Приложение 2'!A350</f>
        <v>Межбюджетные трансферты</v>
      </c>
      <c r="B348" s="72" t="str">
        <f>'Приложение 2'!C350</f>
        <v>1403</v>
      </c>
      <c r="C348" s="72" t="str">
        <f>'Приложение 2'!D350</f>
        <v>99</v>
      </c>
      <c r="D348" s="72">
        <f>'Приложение 2'!E350</f>
        <v>0</v>
      </c>
      <c r="E348" s="72">
        <f>'Приложение 2'!F350</f>
        <v>500</v>
      </c>
      <c r="F348" s="58">
        <f>'Приложение 2'!G350</f>
        <v>21884.85879</v>
      </c>
      <c r="G348" s="58">
        <f>'Приложение 2'!H350</f>
        <v>21884.85879</v>
      </c>
      <c r="H348" s="64">
        <f t="shared" si="5"/>
        <v>100</v>
      </c>
    </row>
    <row r="349" spans="1:8" ht="12.75">
      <c r="A349" s="45" t="str">
        <f>'Приложение 2'!A351</f>
        <v>Всего </v>
      </c>
      <c r="B349" s="72"/>
      <c r="C349" s="72"/>
      <c r="D349" s="72"/>
      <c r="E349" s="72"/>
      <c r="F349" s="58">
        <f>'Приложение 2'!G351</f>
        <v>530329.0213</v>
      </c>
      <c r="G349" s="58">
        <f>'Приложение 2'!H351</f>
        <v>487406.93446</v>
      </c>
      <c r="H349" s="64">
        <f t="shared" si="5"/>
        <v>91.90651744179779</v>
      </c>
    </row>
    <row r="350" spans="1:5" ht="12.75">
      <c r="A350" s="2"/>
      <c r="B350" s="2"/>
      <c r="C350" s="2"/>
      <c r="D350" s="2"/>
      <c r="E350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80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K73" sqref="K73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6.7109375" style="11" customWidth="1"/>
    <col min="5" max="5" width="12.421875" style="2" customWidth="1"/>
    <col min="6" max="6" width="11.57421875" style="2" customWidth="1"/>
    <col min="7" max="7" width="12.140625" style="2" customWidth="1"/>
    <col min="8" max="16384" width="9.140625" style="2" customWidth="1"/>
  </cols>
  <sheetData>
    <row r="1" spans="3:7" ht="18.75" customHeight="1">
      <c r="C1" s="111" t="s">
        <v>336</v>
      </c>
      <c r="D1" s="111"/>
      <c r="E1" s="111"/>
      <c r="F1" s="111"/>
      <c r="G1" s="111"/>
    </row>
    <row r="2" spans="3:7" ht="18.75" customHeight="1">
      <c r="C2" s="111" t="s">
        <v>119</v>
      </c>
      <c r="D2" s="111"/>
      <c r="E2" s="111"/>
      <c r="F2" s="111"/>
      <c r="G2" s="111"/>
    </row>
    <row r="3" spans="3:7" ht="18.75" customHeight="1">
      <c r="C3" s="111" t="s">
        <v>120</v>
      </c>
      <c r="D3" s="111"/>
      <c r="E3" s="111"/>
      <c r="F3" s="111"/>
      <c r="G3" s="111"/>
    </row>
    <row r="4" spans="1:7" ht="21.75" customHeight="1">
      <c r="A4" s="8"/>
      <c r="B4" s="1"/>
      <c r="C4" s="111" t="s">
        <v>146</v>
      </c>
      <c r="D4" s="111"/>
      <c r="E4" s="111"/>
      <c r="F4" s="111"/>
      <c r="G4" s="111"/>
    </row>
    <row r="5" spans="1:7" ht="36.75" customHeight="1">
      <c r="A5" s="113" t="s">
        <v>353</v>
      </c>
      <c r="B5" s="113"/>
      <c r="C5" s="113"/>
      <c r="D5" s="113"/>
      <c r="E5" s="113"/>
      <c r="F5" s="113"/>
      <c r="G5" s="113"/>
    </row>
    <row r="6" spans="1:7" ht="12.75" hidden="1">
      <c r="A6" s="31"/>
      <c r="B6" s="32"/>
      <c r="C6" s="33"/>
      <c r="D6" s="34"/>
      <c r="E6" s="16"/>
      <c r="F6" s="16"/>
      <c r="G6" s="16"/>
    </row>
    <row r="7" spans="1:7" ht="12.75" customHeight="1">
      <c r="A7" s="31"/>
      <c r="B7" s="32"/>
      <c r="C7" s="33"/>
      <c r="D7" s="34"/>
      <c r="E7" s="114"/>
      <c r="F7" s="114"/>
      <c r="G7" s="79" t="s">
        <v>270</v>
      </c>
    </row>
    <row r="8" spans="1:7" ht="72.75" customHeight="1">
      <c r="A8" s="50" t="s">
        <v>1</v>
      </c>
      <c r="B8" s="88" t="s">
        <v>169</v>
      </c>
      <c r="C8" s="89" t="s">
        <v>8</v>
      </c>
      <c r="D8" s="90" t="s">
        <v>168</v>
      </c>
      <c r="E8" s="35" t="s">
        <v>279</v>
      </c>
      <c r="F8" s="35" t="s">
        <v>345</v>
      </c>
      <c r="G8" s="35" t="s">
        <v>344</v>
      </c>
    </row>
    <row r="9" spans="1:7" ht="39" customHeight="1" outlineLevel="2">
      <c r="A9" s="51" t="str">
        <f>'Приложение 2'!A50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5" t="str">
        <f>'Приложение 2'!D50</f>
        <v>01</v>
      </c>
      <c r="C9" s="65">
        <f>'Приложение 2'!E50</f>
        <v>0</v>
      </c>
      <c r="D9" s="65" t="s">
        <v>170</v>
      </c>
      <c r="E9" s="66">
        <f>SUM('Приложение 2'!G50)</f>
        <v>28.291</v>
      </c>
      <c r="F9" s="66">
        <f>SUM('Приложение 2'!H50)</f>
        <v>28.291</v>
      </c>
      <c r="G9" s="66">
        <f>SUM(F9/E9)*100</f>
        <v>100</v>
      </c>
    </row>
    <row r="10" spans="1:7" ht="17.25" customHeight="1" outlineLevel="2">
      <c r="A10" s="52" t="s">
        <v>176</v>
      </c>
      <c r="B10" s="38" t="s">
        <v>2</v>
      </c>
      <c r="C10" s="38" t="s">
        <v>9</v>
      </c>
      <c r="D10" s="38" t="s">
        <v>2</v>
      </c>
      <c r="E10" s="64">
        <f>SUM('Приложение 2'!G51)</f>
        <v>28.291</v>
      </c>
      <c r="F10" s="64">
        <f>SUM('Приложение 2'!H51)</f>
        <v>28.291</v>
      </c>
      <c r="G10" s="64">
        <f aca="true" t="shared" si="0" ref="G10:G71">SUM(F10/E10)*100</f>
        <v>100</v>
      </c>
    </row>
    <row r="11" spans="1:7" ht="40.5" customHeight="1" outlineLevel="5">
      <c r="A11" s="48" t="str">
        <f>'Приложение 2'!A140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65" t="s">
        <v>6</v>
      </c>
      <c r="C11" s="67">
        <v>0</v>
      </c>
      <c r="D11" s="65" t="s">
        <v>170</v>
      </c>
      <c r="E11" s="66">
        <f>SUM(E12+E18+E15)</f>
        <v>27866.590819999998</v>
      </c>
      <c r="F11" s="66">
        <f>SUM(F12+F18+F15)</f>
        <v>12866.59082</v>
      </c>
      <c r="G11" s="66">
        <f t="shared" si="0"/>
        <v>46.1721022966526</v>
      </c>
    </row>
    <row r="12" spans="1:7" ht="49.5" customHeight="1" outlineLevel="5">
      <c r="A12" s="48" t="str">
        <f>'Приложение 2'!A141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5" t="s">
        <v>6</v>
      </c>
      <c r="C12" s="67">
        <v>1</v>
      </c>
      <c r="D12" s="65" t="s">
        <v>170</v>
      </c>
      <c r="E12" s="66">
        <f>SUM(E13:E14)</f>
        <v>600</v>
      </c>
      <c r="F12" s="66">
        <f>SUM(F13:F14)</f>
        <v>600</v>
      </c>
      <c r="G12" s="66">
        <f t="shared" si="0"/>
        <v>100</v>
      </c>
    </row>
    <row r="13" spans="1:7" ht="26.25" customHeight="1">
      <c r="A13" s="52" t="s">
        <v>180</v>
      </c>
      <c r="B13" s="38" t="s">
        <v>6</v>
      </c>
      <c r="C13" s="38" t="s">
        <v>173</v>
      </c>
      <c r="D13" s="38" t="s">
        <v>2</v>
      </c>
      <c r="E13" s="64">
        <f>SUM('Приложение 2'!G144+'Приложение 2'!G142)</f>
        <v>600</v>
      </c>
      <c r="F13" s="64">
        <f>SUM('Приложение 2'!H144+'Приложение 2'!H142)</f>
        <v>600</v>
      </c>
      <c r="G13" s="64">
        <f t="shared" si="0"/>
        <v>100</v>
      </c>
    </row>
    <row r="14" spans="1:7" ht="27" customHeight="1" hidden="1">
      <c r="A14" s="52" t="s">
        <v>294</v>
      </c>
      <c r="B14" s="38" t="s">
        <v>6</v>
      </c>
      <c r="C14" s="38" t="s">
        <v>173</v>
      </c>
      <c r="D14" s="38" t="s">
        <v>6</v>
      </c>
      <c r="E14" s="64">
        <f>SUM('Приложение 2'!G143)</f>
        <v>0</v>
      </c>
      <c r="F14" s="64">
        <f>SUM('Приложение 2'!H143)</f>
        <v>0</v>
      </c>
      <c r="G14" s="64" t="e">
        <f t="shared" si="0"/>
        <v>#DIV/0!</v>
      </c>
    </row>
    <row r="15" spans="1:7" ht="27" customHeight="1">
      <c r="A15" s="48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5" t="s">
        <v>6</v>
      </c>
      <c r="C15" s="67">
        <v>3</v>
      </c>
      <c r="D15" s="65" t="s">
        <v>170</v>
      </c>
      <c r="E15" s="66">
        <f>SUM(E16:E17)</f>
        <v>25085.151149999998</v>
      </c>
      <c r="F15" s="66">
        <f>SUM(F16:F17)</f>
        <v>10085.15115</v>
      </c>
      <c r="G15" s="66">
        <f t="shared" si="0"/>
        <v>40.20366905383387</v>
      </c>
    </row>
    <row r="16" spans="1:7" ht="36">
      <c r="A16" s="47" t="s">
        <v>203</v>
      </c>
      <c r="B16" s="38" t="s">
        <v>6</v>
      </c>
      <c r="C16" s="38" t="s">
        <v>175</v>
      </c>
      <c r="D16" s="38" t="s">
        <v>2</v>
      </c>
      <c r="E16" s="64">
        <f>SUM('Приложение 2'!G290+'Приложение 2'!G166+'Приложение 2'!G145)</f>
        <v>15000</v>
      </c>
      <c r="F16" s="64">
        <f>SUM('Приложение 2'!H290+'Приложение 2'!H166+'Приложение 2'!H145)</f>
        <v>0</v>
      </c>
      <c r="G16" s="64">
        <f t="shared" si="0"/>
        <v>0</v>
      </c>
    </row>
    <row r="17" spans="1:7" ht="24">
      <c r="A17" s="52" t="s">
        <v>194</v>
      </c>
      <c r="B17" s="38" t="s">
        <v>6</v>
      </c>
      <c r="C17" s="38" t="s">
        <v>175</v>
      </c>
      <c r="D17" s="38" t="s">
        <v>6</v>
      </c>
      <c r="E17" s="64">
        <f>SUM('Приложение 2'!G167+'Приложение 2'!G189+'Приложение 2'!G66+'Приложение 2'!G228)</f>
        <v>10085.15115</v>
      </c>
      <c r="F17" s="64">
        <f>SUM('Приложение 2'!H167+'Приложение 2'!H189+'Приложение 2'!H66+'Приложение 2'!H228)</f>
        <v>10085.15115</v>
      </c>
      <c r="G17" s="64">
        <f t="shared" si="0"/>
        <v>100</v>
      </c>
    </row>
    <row r="18" spans="1:7" ht="36" customHeight="1">
      <c r="A18" s="51" t="str">
        <f>'Приложение 2'!A67</f>
        <v>Подпрограмма "Энергосбережение и повышение энергетической эффективности Алексеевского муниципального района"</v>
      </c>
      <c r="B18" s="65" t="s">
        <v>6</v>
      </c>
      <c r="C18" s="65" t="s">
        <v>181</v>
      </c>
      <c r="D18" s="65" t="s">
        <v>170</v>
      </c>
      <c r="E18" s="66">
        <f>SUM(E19:E20)</f>
        <v>2181.43967</v>
      </c>
      <c r="F18" s="66">
        <f>SUM(F19:F20)</f>
        <v>2181.43967</v>
      </c>
      <c r="G18" s="66">
        <f t="shared" si="0"/>
        <v>100</v>
      </c>
    </row>
    <row r="19" spans="1:7" ht="27.75" customHeight="1">
      <c r="A19" s="52" t="s">
        <v>210</v>
      </c>
      <c r="B19" s="38" t="s">
        <v>6</v>
      </c>
      <c r="C19" s="38" t="s">
        <v>181</v>
      </c>
      <c r="D19" s="38" t="s">
        <v>2</v>
      </c>
      <c r="E19" s="64">
        <f>SUM('Приложение 2'!G68+'Приложение 2'!G169+'Приложение 2'!G194+'Приложение 2'!G193)</f>
        <v>1128.8080900000002</v>
      </c>
      <c r="F19" s="64">
        <f>SUM('Приложение 2'!H68+'Приложение 2'!H169+'Приложение 2'!H194+'Приложение 2'!H193)</f>
        <v>1128.8080900000002</v>
      </c>
      <c r="G19" s="64">
        <f t="shared" si="0"/>
        <v>100</v>
      </c>
    </row>
    <row r="20" spans="1:7" ht="48">
      <c r="A20" s="52" t="s">
        <v>263</v>
      </c>
      <c r="B20" s="38" t="s">
        <v>6</v>
      </c>
      <c r="C20" s="38" t="s">
        <v>181</v>
      </c>
      <c r="D20" s="38" t="s">
        <v>6</v>
      </c>
      <c r="E20" s="64">
        <f>SUM('Приложение 2'!G195)</f>
        <v>1052.63158</v>
      </c>
      <c r="F20" s="64">
        <f>SUM('Приложение 2'!H195)</f>
        <v>1052.63158</v>
      </c>
      <c r="G20" s="64">
        <f t="shared" si="0"/>
        <v>100</v>
      </c>
    </row>
    <row r="21" spans="1:7" ht="26.25" customHeight="1">
      <c r="A21" s="48" t="str">
        <f>'Приложение 2'!A156</f>
        <v>Муниципальная программа "Комплексное развитие сельских территорий"</v>
      </c>
      <c r="B21" s="65" t="s">
        <v>12</v>
      </c>
      <c r="C21" s="65" t="s">
        <v>9</v>
      </c>
      <c r="D21" s="65" t="s">
        <v>170</v>
      </c>
      <c r="E21" s="66">
        <f>SUM(E22:E23)</f>
        <v>21677.25984</v>
      </c>
      <c r="F21" s="66">
        <f>SUM(F22:F23)</f>
        <v>21677.25984</v>
      </c>
      <c r="G21" s="66">
        <f t="shared" si="0"/>
        <v>100</v>
      </c>
    </row>
    <row r="22" spans="1:7" ht="26.25" customHeight="1">
      <c r="A22" s="47" t="s">
        <v>335</v>
      </c>
      <c r="B22" s="38" t="s">
        <v>12</v>
      </c>
      <c r="C22" s="38" t="s">
        <v>9</v>
      </c>
      <c r="D22" s="38" t="s">
        <v>6</v>
      </c>
      <c r="E22" s="64">
        <f>SUM('Приложение 2'!G156)</f>
        <v>2514.1000000000004</v>
      </c>
      <c r="F22" s="64">
        <f>SUM('Приложение 2'!H156)</f>
        <v>2514.1000000000004</v>
      </c>
      <c r="G22" s="64">
        <f t="shared" si="0"/>
        <v>100</v>
      </c>
    </row>
    <row r="23" spans="1:7" ht="24">
      <c r="A23" s="47" t="s">
        <v>323</v>
      </c>
      <c r="B23" s="38" t="s">
        <v>12</v>
      </c>
      <c r="C23" s="38" t="s">
        <v>9</v>
      </c>
      <c r="D23" s="38" t="s">
        <v>13</v>
      </c>
      <c r="E23" s="64">
        <f>SUM('Приложение 2'!G265)</f>
        <v>19163.15984</v>
      </c>
      <c r="F23" s="64">
        <f>SUM('Приложение 2'!H265)</f>
        <v>19163.15984</v>
      </c>
      <c r="G23" s="64">
        <f t="shared" si="0"/>
        <v>100</v>
      </c>
    </row>
    <row r="24" spans="1:7" ht="39.75" customHeight="1">
      <c r="A24" s="48" t="str">
        <f>'Приложение 2'!A128</f>
        <v>Муниципальная программа "Развитие и поддержка малого предпринимательства Алексеевского муниципального района на 2019-2023 годы "</v>
      </c>
      <c r="B24" s="65" t="s">
        <v>13</v>
      </c>
      <c r="C24" s="65" t="s">
        <v>9</v>
      </c>
      <c r="D24" s="65" t="s">
        <v>170</v>
      </c>
      <c r="E24" s="66">
        <f>SUM('Приложение 2'!G128)</f>
        <v>50</v>
      </c>
      <c r="F24" s="66">
        <f>SUM('Приложение 2'!H128)</f>
        <v>50</v>
      </c>
      <c r="G24" s="66">
        <f t="shared" si="0"/>
        <v>100</v>
      </c>
    </row>
    <row r="25" spans="1:7" ht="36" hidden="1">
      <c r="A25" s="52" t="s">
        <v>182</v>
      </c>
      <c r="B25" s="38" t="s">
        <v>13</v>
      </c>
      <c r="C25" s="38" t="s">
        <v>9</v>
      </c>
      <c r="D25" s="38" t="s">
        <v>2</v>
      </c>
      <c r="E25" s="64">
        <f>SUM('Приложение 2'!G129)</f>
        <v>0</v>
      </c>
      <c r="F25" s="64">
        <f>SUM('Приложение 2'!H129)</f>
        <v>0</v>
      </c>
      <c r="G25" s="64" t="e">
        <f t="shared" si="0"/>
        <v>#DIV/0!</v>
      </c>
    </row>
    <row r="26" spans="1:7" ht="22.5" customHeight="1">
      <c r="A26" s="52" t="s">
        <v>183</v>
      </c>
      <c r="B26" s="38" t="s">
        <v>13</v>
      </c>
      <c r="C26" s="38" t="s">
        <v>9</v>
      </c>
      <c r="D26" s="38" t="s">
        <v>6</v>
      </c>
      <c r="E26" s="64">
        <f>SUM('Приложение 2'!G131)</f>
        <v>50</v>
      </c>
      <c r="F26" s="64">
        <f>SUM('Приложение 2'!H131)</f>
        <v>50</v>
      </c>
      <c r="G26" s="64">
        <f t="shared" si="0"/>
        <v>100</v>
      </c>
    </row>
    <row r="27" spans="1:7" ht="35.25" customHeight="1" hidden="1">
      <c r="A27" s="52" t="s">
        <v>230</v>
      </c>
      <c r="B27" s="38" t="s">
        <v>13</v>
      </c>
      <c r="C27" s="38" t="s">
        <v>9</v>
      </c>
      <c r="D27" s="38" t="s">
        <v>12</v>
      </c>
      <c r="E27" s="64">
        <f>SUM('Приложение 2'!G130)</f>
        <v>0</v>
      </c>
      <c r="F27" s="64">
        <f>SUM('Приложение 2'!H130)</f>
        <v>0</v>
      </c>
      <c r="G27" s="64" t="e">
        <f t="shared" si="0"/>
        <v>#DIV/0!</v>
      </c>
    </row>
    <row r="28" spans="1:7" ht="38.25" customHeight="1">
      <c r="A28" s="48" t="str">
        <f>'Приложение 2'!A159</f>
        <v>Муниципальная программа "Охрана окружающей среды Алексеевского муниципального района на 2019-2023 годы"</v>
      </c>
      <c r="B28" s="65" t="s">
        <v>15</v>
      </c>
      <c r="C28" s="65" t="s">
        <v>9</v>
      </c>
      <c r="D28" s="65" t="s">
        <v>170</v>
      </c>
      <c r="E28" s="66">
        <f>SUM('Приложение 2'!G159)</f>
        <v>0</v>
      </c>
      <c r="F28" s="66">
        <f>SUM('Приложение 2'!H159)</f>
        <v>0</v>
      </c>
      <c r="G28" s="66">
        <v>0</v>
      </c>
    </row>
    <row r="29" spans="1:7" ht="24">
      <c r="A29" s="52" t="s">
        <v>246</v>
      </c>
      <c r="B29" s="38" t="s">
        <v>15</v>
      </c>
      <c r="C29" s="38" t="s">
        <v>9</v>
      </c>
      <c r="D29" s="38" t="s">
        <v>2</v>
      </c>
      <c r="E29" s="64">
        <f>SUM('Приложение 2'!G159)</f>
        <v>0</v>
      </c>
      <c r="F29" s="64">
        <f>SUM('Приложение 2'!H159)</f>
        <v>0</v>
      </c>
      <c r="G29" s="64">
        <v>0</v>
      </c>
    </row>
    <row r="30" spans="1:7" ht="62.25" customHeight="1">
      <c r="A30" s="48" t="str">
        <f>'Приложение 2'!A236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30" s="65" t="s">
        <v>24</v>
      </c>
      <c r="C30" s="65" t="s">
        <v>9</v>
      </c>
      <c r="D30" s="65" t="s">
        <v>170</v>
      </c>
      <c r="E30" s="66">
        <f>SUM('Приложение 2'!G236+'Приложение 2'!G69)</f>
        <v>70.6</v>
      </c>
      <c r="F30" s="66">
        <f>SUM('Приложение 2'!H236+'Приложение 2'!H69)</f>
        <v>60</v>
      </c>
      <c r="G30" s="66">
        <f t="shared" si="0"/>
        <v>84.98583569405099</v>
      </c>
    </row>
    <row r="31" spans="1:7" ht="27.75" customHeight="1">
      <c r="A31" s="48" t="str">
        <f>'Приложение 2'!A237</f>
        <v>Подпрограмма "Комплексные меры по противодействию наркомании"</v>
      </c>
      <c r="B31" s="65" t="s">
        <v>24</v>
      </c>
      <c r="C31" s="65" t="s">
        <v>173</v>
      </c>
      <c r="D31" s="65" t="s">
        <v>170</v>
      </c>
      <c r="E31" s="66">
        <f>SUM('Приложение 2'!G237)</f>
        <v>20</v>
      </c>
      <c r="F31" s="66">
        <f>SUM('Приложение 2'!H237)</f>
        <v>20</v>
      </c>
      <c r="G31" s="66">
        <f t="shared" si="0"/>
        <v>100</v>
      </c>
    </row>
    <row r="32" spans="1:7" ht="37.5" customHeight="1">
      <c r="A32" s="52" t="s">
        <v>229</v>
      </c>
      <c r="B32" s="38" t="s">
        <v>24</v>
      </c>
      <c r="C32" s="38" t="s">
        <v>173</v>
      </c>
      <c r="D32" s="38" t="s">
        <v>2</v>
      </c>
      <c r="E32" s="64">
        <f>SUM('Приложение 2'!G238)</f>
        <v>20</v>
      </c>
      <c r="F32" s="64">
        <f>SUM('Приложение 2'!H238)</f>
        <v>20</v>
      </c>
      <c r="G32" s="64">
        <f t="shared" si="0"/>
        <v>100</v>
      </c>
    </row>
    <row r="33" spans="1:7" ht="29.25" customHeight="1" outlineLevel="1">
      <c r="A33" s="48" t="str">
        <f>'Приложение 2'!A239</f>
        <v>Подпрограмма "Реализация мероприятий молодежной политики и социальной адаптации молодежи "</v>
      </c>
      <c r="B33" s="65" t="s">
        <v>24</v>
      </c>
      <c r="C33" s="65" t="s">
        <v>174</v>
      </c>
      <c r="D33" s="65" t="s">
        <v>170</v>
      </c>
      <c r="E33" s="66">
        <f>SUM(E34:E35)</f>
        <v>40.6</v>
      </c>
      <c r="F33" s="66">
        <f>SUM(F34:F35)</f>
        <v>30</v>
      </c>
      <c r="G33" s="66">
        <f t="shared" si="0"/>
        <v>73.89162561576354</v>
      </c>
    </row>
    <row r="34" spans="1:7" ht="30" customHeight="1" outlineLevel="5">
      <c r="A34" s="52" t="s">
        <v>184</v>
      </c>
      <c r="B34" s="38" t="s">
        <v>24</v>
      </c>
      <c r="C34" s="38" t="s">
        <v>174</v>
      </c>
      <c r="D34" s="38" t="s">
        <v>2</v>
      </c>
      <c r="E34" s="64">
        <f>SUM('Приложение 2'!G240)</f>
        <v>30</v>
      </c>
      <c r="F34" s="64">
        <f>SUM('Приложение 2'!H240)</f>
        <v>30</v>
      </c>
      <c r="G34" s="64">
        <f t="shared" si="0"/>
        <v>100</v>
      </c>
    </row>
    <row r="35" spans="1:7" ht="30" customHeight="1" outlineLevel="5">
      <c r="A35" s="52" t="s">
        <v>320</v>
      </c>
      <c r="B35" s="38" t="s">
        <v>24</v>
      </c>
      <c r="C35" s="39">
        <v>2</v>
      </c>
      <c r="D35" s="38" t="s">
        <v>6</v>
      </c>
      <c r="E35" s="64">
        <f>SUM('Приложение 2'!G241+'Приложение 2'!G71)</f>
        <v>10.6</v>
      </c>
      <c r="F35" s="64">
        <f>SUM('Приложение 2'!H241+'Приложение 2'!H71)</f>
        <v>0</v>
      </c>
      <c r="G35" s="64">
        <f t="shared" si="0"/>
        <v>0</v>
      </c>
    </row>
    <row r="36" spans="1:7" ht="34.5" customHeight="1" outlineLevel="5">
      <c r="A36" s="48" t="str">
        <f>'Приложение 2'!A242</f>
        <v>Подпрограмма " Профилактика безнадзорности, правонарушений и неблагополучия несовершеннолетних"</v>
      </c>
      <c r="B36" s="65" t="s">
        <v>24</v>
      </c>
      <c r="C36" s="65" t="s">
        <v>175</v>
      </c>
      <c r="D36" s="65" t="s">
        <v>170</v>
      </c>
      <c r="E36" s="66">
        <f>SUM('Приложение 2'!G242)</f>
        <v>10</v>
      </c>
      <c r="F36" s="66">
        <f>SUM('Приложение 2'!H242)</f>
        <v>10</v>
      </c>
      <c r="G36" s="66">
        <f t="shared" si="0"/>
        <v>100</v>
      </c>
    </row>
    <row r="37" spans="1:7" s="16" customFormat="1" ht="36" outlineLevel="2">
      <c r="A37" s="52" t="s">
        <v>225</v>
      </c>
      <c r="B37" s="38" t="s">
        <v>24</v>
      </c>
      <c r="C37" s="39">
        <v>3</v>
      </c>
      <c r="D37" s="38" t="s">
        <v>2</v>
      </c>
      <c r="E37" s="64">
        <f>SUM('Приложение 2'!G243)</f>
        <v>10</v>
      </c>
      <c r="F37" s="64">
        <f>SUM('Приложение 2'!H243)</f>
        <v>10</v>
      </c>
      <c r="G37" s="64">
        <f t="shared" si="0"/>
        <v>100</v>
      </c>
    </row>
    <row r="38" spans="1:7" s="16" customFormat="1" ht="84" hidden="1" outlineLevel="2">
      <c r="A38" s="48" t="str">
        <f>'Приложение 2'!A257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65" t="s">
        <v>198</v>
      </c>
      <c r="C38" s="65" t="s">
        <v>9</v>
      </c>
      <c r="D38" s="65" t="s">
        <v>170</v>
      </c>
      <c r="E38" s="66">
        <f>SUM('Приложение 2'!G257)</f>
        <v>0</v>
      </c>
      <c r="F38" s="66">
        <f>SUM('Приложение 2'!H257)</f>
        <v>0</v>
      </c>
      <c r="G38" s="64" t="e">
        <f t="shared" si="0"/>
        <v>#DIV/0!</v>
      </c>
    </row>
    <row r="39" spans="1:7" s="16" customFormat="1" ht="48" hidden="1" outlineLevel="2">
      <c r="A39" s="52" t="s">
        <v>200</v>
      </c>
      <c r="B39" s="38" t="s">
        <v>198</v>
      </c>
      <c r="C39" s="39">
        <v>0</v>
      </c>
      <c r="D39" s="38" t="s">
        <v>2</v>
      </c>
      <c r="E39" s="64">
        <f>SUM('Приложение 2'!G258)</f>
        <v>0</v>
      </c>
      <c r="F39" s="64">
        <f>SUM('Приложение 2'!H258)</f>
        <v>0</v>
      </c>
      <c r="G39" s="64" t="e">
        <f t="shared" si="0"/>
        <v>#DIV/0!</v>
      </c>
    </row>
    <row r="40" spans="1:7" s="16" customFormat="1" ht="40.5" customHeight="1" outlineLevel="2">
      <c r="A40" s="48" t="str">
        <f>'Приложение 2'!A132</f>
        <v>Муниципальная программа "Градостроительная политика на территории Алексеевского муниципального района на 2022–2024 годы"</v>
      </c>
      <c r="B40" s="65" t="s">
        <v>250</v>
      </c>
      <c r="C40" s="67">
        <v>0</v>
      </c>
      <c r="D40" s="65" t="s">
        <v>170</v>
      </c>
      <c r="E40" s="66">
        <f>SUM('Приложение 2'!G132)</f>
        <v>1191.4362</v>
      </c>
      <c r="F40" s="66">
        <f>SUM('Приложение 2'!H132)</f>
        <v>1128.9362</v>
      </c>
      <c r="G40" s="66">
        <f t="shared" si="0"/>
        <v>94.75423023070812</v>
      </c>
    </row>
    <row r="41" spans="1:7" s="16" customFormat="1" ht="38.25" customHeight="1" outlineLevel="2">
      <c r="A41" s="52" t="s">
        <v>252</v>
      </c>
      <c r="B41" s="38" t="s">
        <v>250</v>
      </c>
      <c r="C41" s="39">
        <v>0</v>
      </c>
      <c r="D41" s="38" t="s">
        <v>2</v>
      </c>
      <c r="E41" s="64">
        <f>SUM(E40-E42-E43)</f>
        <v>371.8380000000001</v>
      </c>
      <c r="F41" s="64">
        <f>SUM(F40-F42-F43)</f>
        <v>309.3380000000001</v>
      </c>
      <c r="G41" s="64">
        <f t="shared" si="0"/>
        <v>83.19160494624003</v>
      </c>
    </row>
    <row r="42" spans="1:7" s="16" customFormat="1" ht="59.25" customHeight="1" outlineLevel="2">
      <c r="A42" s="52" t="s">
        <v>251</v>
      </c>
      <c r="B42" s="38" t="s">
        <v>250</v>
      </c>
      <c r="C42" s="39">
        <v>0</v>
      </c>
      <c r="D42" s="38" t="s">
        <v>6</v>
      </c>
      <c r="E42" s="64">
        <f>SUM('Приложение 2'!G134)</f>
        <v>220</v>
      </c>
      <c r="F42" s="64">
        <f>SUM('Приложение 2'!H134)</f>
        <v>220</v>
      </c>
      <c r="G42" s="64">
        <f t="shared" si="0"/>
        <v>100</v>
      </c>
    </row>
    <row r="43" spans="1:7" s="16" customFormat="1" ht="26.25" customHeight="1" outlineLevel="2">
      <c r="A43" s="52" t="s">
        <v>339</v>
      </c>
      <c r="B43" s="38" t="s">
        <v>250</v>
      </c>
      <c r="C43" s="39">
        <v>0</v>
      </c>
      <c r="D43" s="38" t="s">
        <v>12</v>
      </c>
      <c r="E43" s="64">
        <f>SUM('Приложение 2'!G135)</f>
        <v>599.5982</v>
      </c>
      <c r="F43" s="64">
        <f>SUM('Приложение 2'!H135)</f>
        <v>599.5982</v>
      </c>
      <c r="G43" s="64">
        <f t="shared" si="0"/>
        <v>100</v>
      </c>
    </row>
    <row r="44" spans="1:7" s="16" customFormat="1" ht="48" hidden="1" outlineLevel="2" collapsed="1">
      <c r="A44" s="48" t="str">
        <f>'Приложение 2'!A285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4" s="65" t="s">
        <v>295</v>
      </c>
      <c r="C44" s="65" t="s">
        <v>9</v>
      </c>
      <c r="D44" s="65" t="s">
        <v>170</v>
      </c>
      <c r="E44" s="66">
        <f>SUM('Приложение 2'!G285)</f>
        <v>0</v>
      </c>
      <c r="F44" s="66">
        <f>SUM('Приложение 2'!H285)</f>
        <v>0</v>
      </c>
      <c r="G44" s="64" t="e">
        <f t="shared" si="0"/>
        <v>#DIV/0!</v>
      </c>
    </row>
    <row r="45" spans="1:7" ht="36" hidden="1" outlineLevel="3">
      <c r="A45" s="47" t="s">
        <v>296</v>
      </c>
      <c r="B45" s="38" t="s">
        <v>295</v>
      </c>
      <c r="C45" s="38" t="s">
        <v>9</v>
      </c>
      <c r="D45" s="38" t="s">
        <v>2</v>
      </c>
      <c r="E45" s="64">
        <f>SUM('Приложение 2'!G286)</f>
        <v>0</v>
      </c>
      <c r="F45" s="64">
        <f>SUM('Приложение 2'!H286)</f>
        <v>0</v>
      </c>
      <c r="G45" s="64" t="e">
        <f t="shared" si="0"/>
        <v>#DIV/0!</v>
      </c>
    </row>
    <row r="46" spans="1:7" ht="35.25" customHeight="1">
      <c r="A46" s="48" t="str">
        <f>'Приложение 2'!A268</f>
        <v>Муниципальная программа "Развитие народных художественных промыслов Алексеевского муниципального района на 2019-2023 годы"</v>
      </c>
      <c r="B46" s="65" t="s">
        <v>5</v>
      </c>
      <c r="C46" s="65" t="s">
        <v>9</v>
      </c>
      <c r="D46" s="65" t="s">
        <v>170</v>
      </c>
      <c r="E46" s="66">
        <f>SUM('Приложение 2'!G268)</f>
        <v>20</v>
      </c>
      <c r="F46" s="66">
        <f>SUM('Приложение 2'!H268)</f>
        <v>20</v>
      </c>
      <c r="G46" s="66">
        <f t="shared" si="0"/>
        <v>100</v>
      </c>
    </row>
    <row r="47" spans="1:7" ht="36" customHeight="1">
      <c r="A47" s="52" t="s">
        <v>185</v>
      </c>
      <c r="B47" s="38" t="s">
        <v>5</v>
      </c>
      <c r="C47" s="38" t="s">
        <v>9</v>
      </c>
      <c r="D47" s="38" t="s">
        <v>2</v>
      </c>
      <c r="E47" s="64">
        <f>SUM('Приложение 2'!G269)</f>
        <v>20</v>
      </c>
      <c r="F47" s="64">
        <f>SUM('Приложение 2'!H269)</f>
        <v>20</v>
      </c>
      <c r="G47" s="64">
        <f t="shared" si="0"/>
        <v>100</v>
      </c>
    </row>
    <row r="48" spans="1:7" ht="39" customHeight="1">
      <c r="A48" s="48" t="str">
        <f>'Приложение 2'!A270</f>
        <v>Муниципальная программа "О поддержке деятельности казачьих обществ Алексеевского муниципального района на 2019-2023 годы"</v>
      </c>
      <c r="B48" s="38" t="s">
        <v>4</v>
      </c>
      <c r="C48" s="38" t="s">
        <v>9</v>
      </c>
      <c r="D48" s="38" t="s">
        <v>170</v>
      </c>
      <c r="E48" s="66">
        <f>SUM('Приложение 2'!G270)</f>
        <v>0</v>
      </c>
      <c r="F48" s="66">
        <f>SUM('Приложение 2'!H270)</f>
        <v>0</v>
      </c>
      <c r="G48" s="66">
        <v>0</v>
      </c>
    </row>
    <row r="49" spans="1:7" ht="27" customHeight="1">
      <c r="A49" s="52" t="s">
        <v>186</v>
      </c>
      <c r="B49" s="38" t="s">
        <v>4</v>
      </c>
      <c r="C49" s="38">
        <f>'Приложение 2'!E337</f>
        <v>0</v>
      </c>
      <c r="D49" s="38" t="s">
        <v>2</v>
      </c>
      <c r="E49" s="64">
        <f>SUM('Приложение 2'!G271)</f>
        <v>0</v>
      </c>
      <c r="F49" s="64">
        <f>SUM('Приложение 2'!H271)</f>
        <v>0</v>
      </c>
      <c r="G49" s="64">
        <v>0</v>
      </c>
    </row>
    <row r="50" spans="1:7" ht="74.25" customHeight="1">
      <c r="A50" s="48" t="str">
        <f>'Приложение 2'!A297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0" s="65" t="s">
        <v>7</v>
      </c>
      <c r="C50" s="65">
        <f>'Приложение 2'!E121</f>
        <v>0</v>
      </c>
      <c r="D50" s="65" t="s">
        <v>170</v>
      </c>
      <c r="E50" s="66">
        <f>SUM('Приложение 2'!G297)</f>
        <v>574.741</v>
      </c>
      <c r="F50" s="66">
        <f>SUM('Приложение 2'!H297)</f>
        <v>445.839</v>
      </c>
      <c r="G50" s="66">
        <f t="shared" si="0"/>
        <v>77.57215858969518</v>
      </c>
    </row>
    <row r="51" spans="1:7" ht="72" customHeight="1">
      <c r="A51" s="52" t="s">
        <v>187</v>
      </c>
      <c r="B51" s="38" t="s">
        <v>7</v>
      </c>
      <c r="C51" s="38" t="s">
        <v>9</v>
      </c>
      <c r="D51" s="38" t="s">
        <v>2</v>
      </c>
      <c r="E51" s="64">
        <f>SUM('Приложение 2'!G298)</f>
        <v>574.741</v>
      </c>
      <c r="F51" s="64">
        <f>SUM('Приложение 2'!H298)</f>
        <v>445.839</v>
      </c>
      <c r="G51" s="64">
        <f t="shared" si="0"/>
        <v>77.57215858969518</v>
      </c>
    </row>
    <row r="52" spans="1:7" ht="24" customHeight="1">
      <c r="A52" s="48" t="str">
        <f>'Приложение 2'!A72</f>
        <v>Муниципальная программа "Маршрут Победы на 2019-2023 годы"</v>
      </c>
      <c r="B52" s="65" t="s">
        <v>10</v>
      </c>
      <c r="C52" s="65" t="s">
        <v>9</v>
      </c>
      <c r="D52" s="65" t="s">
        <v>170</v>
      </c>
      <c r="E52" s="66">
        <f>SUM('Приложение 2'!G72)</f>
        <v>116.34</v>
      </c>
      <c r="F52" s="66">
        <f>SUM('Приложение 2'!H72)</f>
        <v>100.7</v>
      </c>
      <c r="G52" s="66">
        <f t="shared" si="0"/>
        <v>86.55664431837718</v>
      </c>
    </row>
    <row r="53" spans="1:7" ht="50.25" customHeight="1">
      <c r="A53" s="52" t="s">
        <v>303</v>
      </c>
      <c r="B53" s="38" t="s">
        <v>10</v>
      </c>
      <c r="C53" s="38" t="s">
        <v>9</v>
      </c>
      <c r="D53" s="38" t="s">
        <v>2</v>
      </c>
      <c r="E53" s="64">
        <f>SUM('Приложение 2'!G73+'Приложение 2'!G74)</f>
        <v>116.34</v>
      </c>
      <c r="F53" s="64">
        <f>SUM('Приложение 2'!H73)</f>
        <v>100.7</v>
      </c>
      <c r="G53" s="64">
        <f t="shared" si="0"/>
        <v>86.55664431837718</v>
      </c>
    </row>
    <row r="54" spans="1:7" ht="40.5" customHeight="1">
      <c r="A54" s="51" t="str">
        <f>'Приложение 2'!A336</f>
        <v>Муниципальная программа "Развитие физической культуры и спорта в Алексеевском муниципальном районе на 2019-2023 годы"</v>
      </c>
      <c r="B54" s="65" t="s">
        <v>18</v>
      </c>
      <c r="C54" s="65" t="s">
        <v>9</v>
      </c>
      <c r="D54" s="65" t="s">
        <v>170</v>
      </c>
      <c r="E54" s="66">
        <f>SUM(E55+E56+E57)</f>
        <v>371.6338</v>
      </c>
      <c r="F54" s="66">
        <f>SUM(F55+F56+F57)</f>
        <v>371.6338</v>
      </c>
      <c r="G54" s="66">
        <f t="shared" si="0"/>
        <v>100</v>
      </c>
    </row>
    <row r="55" spans="1:7" ht="48" customHeight="1">
      <c r="A55" s="52" t="s">
        <v>188</v>
      </c>
      <c r="B55" s="38" t="s">
        <v>18</v>
      </c>
      <c r="C55" s="38" t="s">
        <v>9</v>
      </c>
      <c r="D55" s="38" t="s">
        <v>2</v>
      </c>
      <c r="E55" s="64">
        <f>SUM('Приложение 2'!G337)</f>
        <v>371.6338</v>
      </c>
      <c r="F55" s="64">
        <f>SUM('Приложение 2'!H337)</f>
        <v>371.6338</v>
      </c>
      <c r="G55" s="64">
        <f t="shared" si="0"/>
        <v>100</v>
      </c>
    </row>
    <row r="56" spans="1:7" ht="39.75" customHeight="1" hidden="1">
      <c r="A56" s="52" t="s">
        <v>302</v>
      </c>
      <c r="B56" s="38" t="s">
        <v>18</v>
      </c>
      <c r="C56" s="38" t="s">
        <v>9</v>
      </c>
      <c r="D56" s="38" t="s">
        <v>12</v>
      </c>
      <c r="E56" s="64">
        <f>SUM('Приложение 2'!G332)</f>
        <v>0</v>
      </c>
      <c r="F56" s="64">
        <f>SUM('Приложение 2'!H332)</f>
        <v>0</v>
      </c>
      <c r="G56" s="64" t="e">
        <f t="shared" si="0"/>
        <v>#DIV/0!</v>
      </c>
    </row>
    <row r="57" spans="1:7" ht="72" hidden="1">
      <c r="A57" s="52" t="s">
        <v>266</v>
      </c>
      <c r="B57" s="38" t="s">
        <v>18</v>
      </c>
      <c r="C57" s="38" t="s">
        <v>9</v>
      </c>
      <c r="D57" s="38" t="s">
        <v>265</v>
      </c>
      <c r="E57" s="64">
        <f>SUM('Приложение 2'!G197+'Приложение 2'!G198)</f>
        <v>0</v>
      </c>
      <c r="F57" s="64">
        <f>SUM('Приложение 2'!H197+'Приложение 2'!H198)</f>
        <v>0</v>
      </c>
      <c r="G57" s="64" t="e">
        <f t="shared" si="0"/>
        <v>#DIV/0!</v>
      </c>
    </row>
    <row r="58" spans="1:7" ht="51" customHeight="1">
      <c r="A58" s="51" t="str">
        <f>'Приложение 2'!A120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65" t="s">
        <v>143</v>
      </c>
      <c r="C58" s="65" t="s">
        <v>9</v>
      </c>
      <c r="D58" s="65" t="s">
        <v>170</v>
      </c>
      <c r="E58" s="66">
        <f>SUM('Приложение 2'!G120)</f>
        <v>21148.52972</v>
      </c>
      <c r="F58" s="66">
        <f>SUM('Приложение 2'!H120)</f>
        <v>18235.57586</v>
      </c>
      <c r="G58" s="66">
        <f t="shared" si="0"/>
        <v>86.22621100111164</v>
      </c>
    </row>
    <row r="59" spans="1:7" ht="39.75" customHeight="1">
      <c r="A59" s="52" t="s">
        <v>226</v>
      </c>
      <c r="B59" s="38" t="s">
        <v>143</v>
      </c>
      <c r="C59" s="38" t="s">
        <v>9</v>
      </c>
      <c r="D59" s="38" t="s">
        <v>2</v>
      </c>
      <c r="E59" s="64">
        <f>SUM('Приложение 2'!G120)</f>
        <v>21148.52972</v>
      </c>
      <c r="F59" s="64">
        <f>SUM('Приложение 2'!H120)</f>
        <v>18235.57586</v>
      </c>
      <c r="G59" s="64">
        <f t="shared" si="0"/>
        <v>86.22621100111164</v>
      </c>
    </row>
    <row r="60" spans="1:7" ht="54" customHeight="1">
      <c r="A60" s="51" t="str">
        <f>'Приложение 2'!A75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0" s="65" t="s">
        <v>145</v>
      </c>
      <c r="C60" s="65" t="s">
        <v>9</v>
      </c>
      <c r="D60" s="65" t="s">
        <v>170</v>
      </c>
      <c r="E60" s="66">
        <f>SUM(E61+E63)</f>
        <v>0</v>
      </c>
      <c r="F60" s="66">
        <f>SUM(F61+F63)</f>
        <v>0</v>
      </c>
      <c r="G60" s="66">
        <v>0</v>
      </c>
    </row>
    <row r="61" spans="1:7" ht="18" customHeight="1">
      <c r="A61" s="51" t="str">
        <f>'Приложение 2'!A76</f>
        <v>Подпрограмма "Профилактика правонарушений"</v>
      </c>
      <c r="B61" s="65" t="s">
        <v>145</v>
      </c>
      <c r="C61" s="65" t="s">
        <v>173</v>
      </c>
      <c r="D61" s="65" t="s">
        <v>170</v>
      </c>
      <c r="E61" s="66">
        <f>SUM('Приложение 2'!G76)</f>
        <v>0</v>
      </c>
      <c r="F61" s="66">
        <f>SUM('Приложение 2'!H76)</f>
        <v>0</v>
      </c>
      <c r="G61" s="66">
        <v>0</v>
      </c>
    </row>
    <row r="62" spans="1:7" ht="30.75" customHeight="1">
      <c r="A62" s="52" t="s">
        <v>253</v>
      </c>
      <c r="B62" s="38" t="s">
        <v>145</v>
      </c>
      <c r="C62" s="38" t="s">
        <v>173</v>
      </c>
      <c r="D62" s="38" t="s">
        <v>2</v>
      </c>
      <c r="E62" s="64">
        <f>SUM('Приложение 2'!G77)</f>
        <v>0</v>
      </c>
      <c r="F62" s="64">
        <f>SUM('Приложение 2'!H77)</f>
        <v>0</v>
      </c>
      <c r="G62" s="64">
        <v>0</v>
      </c>
    </row>
    <row r="63" spans="1:7" ht="24.75" customHeight="1">
      <c r="A63" s="51" t="str">
        <f>'Приложение 2'!A78</f>
        <v>Подпрограмма "Формирование законопослушного поведения участников дорожного движения"</v>
      </c>
      <c r="B63" s="65" t="s">
        <v>145</v>
      </c>
      <c r="C63" s="65" t="s">
        <v>174</v>
      </c>
      <c r="D63" s="65" t="s">
        <v>170</v>
      </c>
      <c r="E63" s="66">
        <f>SUM('Приложение 2'!G78)</f>
        <v>0</v>
      </c>
      <c r="F63" s="66">
        <f>SUM('Приложение 2'!H78)</f>
        <v>0</v>
      </c>
      <c r="G63" s="66">
        <v>0</v>
      </c>
    </row>
    <row r="64" spans="1:7" ht="33" customHeight="1">
      <c r="A64" s="52" t="s">
        <v>249</v>
      </c>
      <c r="B64" s="38" t="s">
        <v>145</v>
      </c>
      <c r="C64" s="38" t="s">
        <v>174</v>
      </c>
      <c r="D64" s="38" t="s">
        <v>2</v>
      </c>
      <c r="E64" s="64">
        <f>SUM('Приложение 2'!G79)</f>
        <v>0</v>
      </c>
      <c r="F64" s="64">
        <f>SUM('Приложение 2'!H79)</f>
        <v>0</v>
      </c>
      <c r="G64" s="64">
        <v>0</v>
      </c>
    </row>
    <row r="65" spans="1:7" ht="39.75" customHeight="1" hidden="1">
      <c r="A65" s="51" t="str">
        <f>'Приложение 2'!A80</f>
        <v>Муниципальная программа "Улучшение условий и охраны труда в Алексеевском муниципальном районе на 2017-2019 годы"</v>
      </c>
      <c r="B65" s="65" t="s">
        <v>212</v>
      </c>
      <c r="C65" s="65" t="s">
        <v>9</v>
      </c>
      <c r="D65" s="65" t="s">
        <v>170</v>
      </c>
      <c r="E65" s="66">
        <f>SUM('Приложение 2'!G80)</f>
        <v>0</v>
      </c>
      <c r="F65" s="66">
        <f>SUM('Приложение 2'!H80)</f>
        <v>0</v>
      </c>
      <c r="G65" s="64" t="e">
        <f t="shared" si="0"/>
        <v>#DIV/0!</v>
      </c>
    </row>
    <row r="66" spans="1:7" ht="63.75" customHeight="1" hidden="1">
      <c r="A66" s="53" t="s">
        <v>211</v>
      </c>
      <c r="B66" s="38" t="s">
        <v>212</v>
      </c>
      <c r="C66" s="38" t="s">
        <v>9</v>
      </c>
      <c r="D66" s="38" t="s">
        <v>2</v>
      </c>
      <c r="E66" s="64">
        <f>SUM('Приложение 2'!G81)</f>
        <v>0</v>
      </c>
      <c r="F66" s="64">
        <f>SUM('Приложение 2'!H81)</f>
        <v>0</v>
      </c>
      <c r="G66" s="64" t="e">
        <f t="shared" si="0"/>
        <v>#DIV/0!</v>
      </c>
    </row>
    <row r="67" spans="1:7" ht="108" customHeight="1">
      <c r="A67" s="51" t="str">
        <f>'Приложение 2'!A170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7" s="65" t="s">
        <v>197</v>
      </c>
      <c r="C67" s="65" t="s">
        <v>9</v>
      </c>
      <c r="D67" s="65" t="s">
        <v>170</v>
      </c>
      <c r="E67" s="66">
        <f>SUM(E68:E71)</f>
        <v>1308.22222</v>
      </c>
      <c r="F67" s="66">
        <f>SUM(F68:F71)</f>
        <v>1308.22222</v>
      </c>
      <c r="G67" s="66">
        <f t="shared" si="0"/>
        <v>100</v>
      </c>
    </row>
    <row r="68" spans="1:7" ht="73.5" customHeight="1">
      <c r="A68" s="52" t="s">
        <v>227</v>
      </c>
      <c r="B68" s="38" t="s">
        <v>197</v>
      </c>
      <c r="C68" s="38" t="s">
        <v>9</v>
      </c>
      <c r="D68" s="38" t="s">
        <v>2</v>
      </c>
      <c r="E68" s="64">
        <f>SUM('Приложение 2'!G171+'Приложение 2'!G199)-E69-E70-E71</f>
        <v>340.44863999999984</v>
      </c>
      <c r="F68" s="64">
        <f>SUM('Приложение 2'!H171+'Приложение 2'!H199)-F69-F70-F71</f>
        <v>340.44863999999984</v>
      </c>
      <c r="G68" s="64">
        <f t="shared" si="0"/>
        <v>100</v>
      </c>
    </row>
    <row r="69" spans="1:7" ht="62.25" customHeight="1">
      <c r="A69" s="52" t="s">
        <v>271</v>
      </c>
      <c r="B69" s="38" t="s">
        <v>197</v>
      </c>
      <c r="C69" s="38" t="s">
        <v>9</v>
      </c>
      <c r="D69" s="38" t="s">
        <v>6</v>
      </c>
      <c r="E69" s="64">
        <f>946.55136-4.5</f>
        <v>942.05136</v>
      </c>
      <c r="F69" s="64">
        <f>946.55136-4.5</f>
        <v>942.05136</v>
      </c>
      <c r="G69" s="64">
        <f t="shared" si="0"/>
        <v>100</v>
      </c>
    </row>
    <row r="70" spans="1:7" ht="14.25" customHeight="1">
      <c r="A70" s="52" t="s">
        <v>298</v>
      </c>
      <c r="B70" s="38" t="s">
        <v>197</v>
      </c>
      <c r="C70" s="38" t="s">
        <v>9</v>
      </c>
      <c r="D70" s="38" t="s">
        <v>12</v>
      </c>
      <c r="E70" s="64">
        <f>13.94442</f>
        <v>13.94442</v>
      </c>
      <c r="F70" s="64">
        <f>13.94442</f>
        <v>13.94442</v>
      </c>
      <c r="G70" s="64">
        <f t="shared" si="0"/>
        <v>100</v>
      </c>
    </row>
    <row r="71" spans="1:7" ht="14.25" customHeight="1">
      <c r="A71" s="52" t="s">
        <v>314</v>
      </c>
      <c r="B71" s="38" t="s">
        <v>197</v>
      </c>
      <c r="C71" s="38" t="s">
        <v>9</v>
      </c>
      <c r="D71" s="38" t="s">
        <v>12</v>
      </c>
      <c r="E71" s="64">
        <f>12.222-0.4442</f>
        <v>11.7778</v>
      </c>
      <c r="F71" s="64">
        <f>12.222-0.4442</f>
        <v>11.7778</v>
      </c>
      <c r="G71" s="64">
        <f t="shared" si="0"/>
        <v>100</v>
      </c>
    </row>
    <row r="72" spans="1:7" ht="40.5" customHeight="1">
      <c r="A72" s="51" t="str">
        <f>'Приложение 2'!A82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65" t="s">
        <v>177</v>
      </c>
      <c r="C72" s="65">
        <f>'Приложение 2'!E139</f>
        <v>0</v>
      </c>
      <c r="D72" s="65" t="s">
        <v>170</v>
      </c>
      <c r="E72" s="66">
        <f>SUM('Приложение 2'!G82)</f>
        <v>0</v>
      </c>
      <c r="F72" s="66">
        <f>SUM('Приложение 2'!H82)</f>
        <v>0</v>
      </c>
      <c r="G72" s="66">
        <v>0</v>
      </c>
    </row>
    <row r="73" spans="1:7" ht="24">
      <c r="A73" s="52" t="s">
        <v>189</v>
      </c>
      <c r="B73" s="38" t="s">
        <v>177</v>
      </c>
      <c r="C73" s="38" t="s">
        <v>9</v>
      </c>
      <c r="D73" s="38" t="s">
        <v>2</v>
      </c>
      <c r="E73" s="64">
        <f>SUM('Приложение 2'!G83)</f>
        <v>0</v>
      </c>
      <c r="F73" s="64">
        <f>SUM('Приложение 2'!H83)</f>
        <v>0</v>
      </c>
      <c r="G73" s="64">
        <v>0</v>
      </c>
    </row>
    <row r="74" spans="1:7" ht="12.75">
      <c r="A74" s="47" t="s">
        <v>95</v>
      </c>
      <c r="B74" s="38"/>
      <c r="C74" s="39"/>
      <c r="D74" s="69"/>
      <c r="E74" s="66">
        <f>SUM(E9+E11+E24+E28+E30+E44+E46+E48+E50+E52+E54+E58+E60+E67+E72+E38+E65+E40+E21)</f>
        <v>74423.6446</v>
      </c>
      <c r="F74" s="66">
        <f>SUM(F9+F11+F24+F28+F30+F44+F46+F48+F50+F52+F54+F58+F60+F67+F72+F38+F65+F40+F21)</f>
        <v>56293.04874</v>
      </c>
      <c r="G74" s="66">
        <f>SUM(F74/E74)*100</f>
        <v>75.63866166801512</v>
      </c>
    </row>
    <row r="75" spans="4:5" ht="15">
      <c r="D75" s="17"/>
      <c r="E75" s="82"/>
    </row>
    <row r="76" ht="15">
      <c r="D76" s="17"/>
    </row>
    <row r="77" spans="1:7" s="14" customFormat="1" ht="15">
      <c r="A77" s="7"/>
      <c r="B77" s="12"/>
      <c r="C77" s="13"/>
      <c r="D77" s="17"/>
      <c r="E77" s="2"/>
      <c r="F77" s="2"/>
      <c r="G77" s="2"/>
    </row>
    <row r="78" spans="1:7" s="14" customFormat="1" ht="15">
      <c r="A78" s="7"/>
      <c r="B78" s="12"/>
      <c r="C78" s="13"/>
      <c r="D78" s="17"/>
      <c r="E78" s="2"/>
      <c r="F78" s="2"/>
      <c r="G78" s="2"/>
    </row>
    <row r="79" ht="15">
      <c r="D79" s="17"/>
    </row>
    <row r="80" ht="15">
      <c r="D80" s="17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3"/>
  <sheetViews>
    <sheetView showGridLines="0" tabSelected="1"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9.140625" defaultRowHeight="12.75" outlineLevelRow="5"/>
  <cols>
    <col min="1" max="1" width="49.57421875" style="7" customWidth="1"/>
    <col min="2" max="2" width="3.8515625" style="12" customWidth="1"/>
    <col min="3" max="3" width="3.8515625" style="13" customWidth="1"/>
    <col min="4" max="4" width="4.421875" style="11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11" t="s">
        <v>356</v>
      </c>
      <c r="D1" s="111"/>
      <c r="E1" s="111"/>
      <c r="F1" s="111"/>
      <c r="G1" s="111"/>
    </row>
    <row r="2" spans="1:7" ht="16.5">
      <c r="A2" s="111" t="s">
        <v>355</v>
      </c>
      <c r="B2" s="111"/>
      <c r="C2" s="111"/>
      <c r="D2" s="111"/>
      <c r="E2" s="111"/>
      <c r="F2" s="111"/>
      <c r="G2" s="111"/>
    </row>
    <row r="3" spans="1:7" ht="21.75" customHeight="1">
      <c r="A3" s="8"/>
      <c r="B3" s="1"/>
      <c r="C3" s="111" t="s">
        <v>146</v>
      </c>
      <c r="D3" s="111"/>
      <c r="E3" s="111"/>
      <c r="F3" s="111"/>
      <c r="G3" s="111"/>
    </row>
    <row r="4" spans="1:7" ht="39.75" customHeight="1">
      <c r="A4" s="113" t="s">
        <v>357</v>
      </c>
      <c r="B4" s="113"/>
      <c r="C4" s="113"/>
      <c r="D4" s="113"/>
      <c r="E4" s="113"/>
      <c r="F4" s="113"/>
      <c r="G4" s="113"/>
    </row>
    <row r="5" spans="1:4" ht="12.75" hidden="1">
      <c r="A5" s="31"/>
      <c r="B5" s="32"/>
      <c r="C5" s="33"/>
      <c r="D5" s="34"/>
    </row>
    <row r="6" spans="1:7" ht="12.75">
      <c r="A6" s="31"/>
      <c r="B6" s="32"/>
      <c r="C6" s="33"/>
      <c r="D6" s="34"/>
      <c r="E6" s="115"/>
      <c r="F6" s="115"/>
      <c r="G6" s="79" t="s">
        <v>270</v>
      </c>
    </row>
    <row r="7" spans="1:7" ht="81" customHeight="1">
      <c r="A7" s="37" t="s">
        <v>1</v>
      </c>
      <c r="B7" s="92" t="s">
        <v>316</v>
      </c>
      <c r="C7" s="83" t="s">
        <v>8</v>
      </c>
      <c r="D7" s="91" t="s">
        <v>161</v>
      </c>
      <c r="E7" s="35" t="s">
        <v>279</v>
      </c>
      <c r="F7" s="35" t="s">
        <v>345</v>
      </c>
      <c r="G7" s="35" t="s">
        <v>344</v>
      </c>
    </row>
    <row r="8" spans="1:7" ht="51" customHeight="1" outlineLevel="5">
      <c r="A8" s="48" t="str">
        <f>'Приложение 2'!A84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8" s="65" t="s">
        <v>14</v>
      </c>
      <c r="C8" s="65" t="s">
        <v>9</v>
      </c>
      <c r="D8" s="65"/>
      <c r="E8" s="66">
        <f>SUM(E9)</f>
        <v>54580.39144</v>
      </c>
      <c r="F8" s="66">
        <f>SUM(F9)</f>
        <v>53634.702809999995</v>
      </c>
      <c r="G8" s="98">
        <f aca="true" t="shared" si="0" ref="G8:G33">SUM(F8/E8)*100</f>
        <v>98.26734729259024</v>
      </c>
    </row>
    <row r="9" spans="1:7" ht="24.75" customHeight="1" outlineLevel="2">
      <c r="A9" s="47" t="str">
        <f>'Приложение 2'!A85</f>
        <v>Предоставление субсидий бюджетным, автономным учреждениям и иным некоммерческим организациям</v>
      </c>
      <c r="B9" s="38" t="s">
        <v>14</v>
      </c>
      <c r="C9" s="38" t="s">
        <v>9</v>
      </c>
      <c r="D9" s="38" t="s">
        <v>167</v>
      </c>
      <c r="E9" s="64">
        <f>SUM('Приложение 2'!G84+'Приложение 2'!G147)</f>
        <v>54580.39144</v>
      </c>
      <c r="F9" s="64">
        <f>SUM('Приложение 2'!H84+'Приложение 2'!H147)</f>
        <v>53634.702809999995</v>
      </c>
      <c r="G9" s="96">
        <f t="shared" si="0"/>
        <v>98.26734729259024</v>
      </c>
    </row>
    <row r="10" spans="1:7" ht="35.25" customHeight="1" outlineLevel="1">
      <c r="A10" s="48" t="str">
        <f>'Приложение 2'!A172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0" s="65" t="str">
        <f>'Приложение 2'!D172</f>
        <v>52</v>
      </c>
      <c r="C10" s="65">
        <f>'Приложение 2'!E172</f>
        <v>0</v>
      </c>
      <c r="D10" s="65"/>
      <c r="E10" s="66">
        <f>SUM(E11)</f>
        <v>27425.84045</v>
      </c>
      <c r="F10" s="66">
        <f>SUM(F11)</f>
        <v>26301.248069999998</v>
      </c>
      <c r="G10" s="98">
        <f t="shared" si="0"/>
        <v>95.89951534192636</v>
      </c>
    </row>
    <row r="11" spans="1:7" ht="27.75" customHeight="1" outlineLevel="1">
      <c r="A11" s="47" t="str">
        <f>'Приложение 2'!A173</f>
        <v>Предоставление субсидий бюджетным, автономным учреждениям и иным некоммерческим организациям</v>
      </c>
      <c r="B11" s="38" t="str">
        <f>'Приложение 2'!D173</f>
        <v>52</v>
      </c>
      <c r="C11" s="38">
        <f>'Приложение 2'!E173</f>
        <v>0</v>
      </c>
      <c r="D11" s="38" t="s">
        <v>167</v>
      </c>
      <c r="E11" s="64">
        <f>SUM('Приложение 2'!G172)</f>
        <v>27425.84045</v>
      </c>
      <c r="F11" s="64">
        <f>SUM('Приложение 2'!H172)</f>
        <v>26301.248069999998</v>
      </c>
      <c r="G11" s="96">
        <f t="shared" si="0"/>
        <v>95.89951534192636</v>
      </c>
    </row>
    <row r="12" spans="1:7" ht="36" outlineLevel="5">
      <c r="A12" s="48" t="str">
        <f>'Приложение 2'!A202</f>
        <v>Муниципальная программа "Развитие образования детей на территории Алексеевского муниципального района на 2023-2025 годы"</v>
      </c>
      <c r="B12" s="65" t="str">
        <f>'Приложение 2'!D202</f>
        <v>53</v>
      </c>
      <c r="C12" s="65">
        <f>'Приложение 2'!E202</f>
        <v>0</v>
      </c>
      <c r="D12" s="65"/>
      <c r="E12" s="66">
        <f>SUM(E13+E15+E20)</f>
        <v>249108.39590000006</v>
      </c>
      <c r="F12" s="66">
        <f>SUM(F13+F15+F20)</f>
        <v>228122.43952999997</v>
      </c>
      <c r="G12" s="98">
        <f t="shared" si="0"/>
        <v>91.57557243537286</v>
      </c>
    </row>
    <row r="13" spans="1:7" ht="13.5" customHeight="1" outlineLevel="5">
      <c r="A13" s="48" t="str">
        <f>'Приложение 2'!A179</f>
        <v>Подпрограмма "Развитие дошкольного образования детей"</v>
      </c>
      <c r="B13" s="65" t="str">
        <f>'Приложение 2'!D203</f>
        <v>53</v>
      </c>
      <c r="C13" s="65" t="s">
        <v>173</v>
      </c>
      <c r="D13" s="65"/>
      <c r="E13" s="66">
        <f>SUM(E14)</f>
        <v>13605.07014</v>
      </c>
      <c r="F13" s="66">
        <f>SUM(F14)</f>
        <v>12766.59032</v>
      </c>
      <c r="G13" s="98">
        <f t="shared" si="0"/>
        <v>93.83700479768345</v>
      </c>
    </row>
    <row r="14" spans="1:7" ht="24" outlineLevel="5">
      <c r="A14" s="47" t="str">
        <f>'Приложение 2'!A182</f>
        <v>Предоставление субсидий бюджетным, автономным учреждениям и иным некоммерческим организациям</v>
      </c>
      <c r="B14" s="38" t="s">
        <v>20</v>
      </c>
      <c r="C14" s="38" t="s">
        <v>173</v>
      </c>
      <c r="D14" s="38" t="s">
        <v>9</v>
      </c>
      <c r="E14" s="64">
        <f>SUM('Приложение 2'!G178)</f>
        <v>13605.07014</v>
      </c>
      <c r="F14" s="64">
        <f>SUM('Приложение 2'!H178)</f>
        <v>12766.59032</v>
      </c>
      <c r="G14" s="96">
        <f t="shared" si="0"/>
        <v>93.83700479768345</v>
      </c>
    </row>
    <row r="15" spans="1:7" ht="15" customHeight="1" outlineLevel="5">
      <c r="A15" s="48" t="str">
        <f>'Приложение 2'!A203</f>
        <v>Подпрограмма "Развитие общего образования детей"</v>
      </c>
      <c r="B15" s="65" t="s">
        <v>20</v>
      </c>
      <c r="C15" s="65" t="s">
        <v>174</v>
      </c>
      <c r="D15" s="65"/>
      <c r="E15" s="66">
        <f>SUM(E16:E19)</f>
        <v>223972.04089000006</v>
      </c>
      <c r="F15" s="66">
        <f>SUM(F16:F19)</f>
        <v>204053.93798999998</v>
      </c>
      <c r="G15" s="98">
        <f t="shared" si="0"/>
        <v>91.10687976014715</v>
      </c>
    </row>
    <row r="16" spans="1:7" ht="49.5" customHeight="1" outlineLevel="5">
      <c r="A16" s="47" t="str">
        <f>'Приложение 2'!A205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38" t="s">
        <v>20</v>
      </c>
      <c r="C16" s="38" t="s">
        <v>174</v>
      </c>
      <c r="D16" s="38" t="s">
        <v>165</v>
      </c>
      <c r="E16" s="64">
        <f>SUM('Приложение 2'!G205+'Приложение 2'!G213+'Приложение 2'!G214+'Приложение 2'!G215+'Приложение 2'!G251)</f>
        <v>6784.458050000001</v>
      </c>
      <c r="F16" s="64">
        <f>SUM('Приложение 2'!H205+'Приложение 2'!H213+'Приложение 2'!H214+'Приложение 2'!H215+'Приложение 2'!H251)</f>
        <v>5785.63393</v>
      </c>
      <c r="G16" s="96">
        <f t="shared" si="0"/>
        <v>85.27776113229854</v>
      </c>
    </row>
    <row r="17" spans="1:7" ht="26.25" customHeight="1" outlineLevel="5">
      <c r="A17" s="47" t="str">
        <f>'Приложение 2'!A206</f>
        <v>Закупка товаров, работ и услуг для государственных (муниципальных) нужд</v>
      </c>
      <c r="B17" s="38" t="s">
        <v>20</v>
      </c>
      <c r="C17" s="38" t="s">
        <v>174</v>
      </c>
      <c r="D17" s="38" t="s">
        <v>144</v>
      </c>
      <c r="E17" s="64">
        <f>SUM('Приложение 2'!G206+'Приложение 2'!G216+'Приложение 2'!G217+'Приложение 2'!G218+'Приложение 2'!G207)</f>
        <v>892.46321</v>
      </c>
      <c r="F17" s="64">
        <f>SUM('Приложение 2'!H206+'Приложение 2'!H216+'Приложение 2'!H217+'Приложение 2'!H218+'Приложение 2'!H207)</f>
        <v>696.3975</v>
      </c>
      <c r="G17" s="96">
        <f t="shared" si="0"/>
        <v>78.03094762864231</v>
      </c>
    </row>
    <row r="18" spans="1:7" ht="12.75" customHeight="1" outlineLevel="5">
      <c r="A18" s="47" t="str">
        <f>'Приложение 2'!A208</f>
        <v>Иные бюджетные ассигнования</v>
      </c>
      <c r="B18" s="38" t="s">
        <v>20</v>
      </c>
      <c r="C18" s="38" t="s">
        <v>174</v>
      </c>
      <c r="D18" s="38" t="s">
        <v>166</v>
      </c>
      <c r="E18" s="64">
        <f>SUM('Приложение 2'!G208)</f>
        <v>26.37789</v>
      </c>
      <c r="F18" s="64">
        <f>SUM('Приложение 2'!H208)</f>
        <v>26.37789</v>
      </c>
      <c r="G18" s="96">
        <f t="shared" si="0"/>
        <v>100</v>
      </c>
    </row>
    <row r="19" spans="1:7" ht="26.25" customHeight="1" outlineLevel="5">
      <c r="A19" s="47" t="str">
        <f>'Приложение 2'!A209</f>
        <v>Предоставление субсидий бюджетным, автономным учреждениям и иным некоммерческим организациям</v>
      </c>
      <c r="B19" s="38" t="s">
        <v>20</v>
      </c>
      <c r="C19" s="38" t="s">
        <v>174</v>
      </c>
      <c r="D19" s="38" t="s">
        <v>167</v>
      </c>
      <c r="E19" s="64">
        <f>SUM('Приложение 2'!G209+'Приложение 2'!G220+'Приложение 2'!G221+'Приложение 2'!G223+'Приложение 2'!G225+'Приложение 2'!G222+'Приложение 2'!G219+'Приложение 2'!G211+'Приложение 2'!G252+'Приложение 2'!G224+'Приложение 2'!G210)</f>
        <v>216268.74174000006</v>
      </c>
      <c r="F19" s="64">
        <f>SUM('Приложение 2'!H209+'Приложение 2'!H220+'Приложение 2'!H221+'Приложение 2'!H223+'Приложение 2'!H225+'Приложение 2'!H222+'Приложение 2'!H219+'Приложение 2'!H211+'Приложение 2'!H252+'Приложение 2'!H224+'Приложение 2'!H210)</f>
        <v>197545.52866999997</v>
      </c>
      <c r="G19" s="96">
        <f t="shared" si="0"/>
        <v>91.34261709789328</v>
      </c>
    </row>
    <row r="20" spans="1:7" ht="18.75" customHeight="1" outlineLevel="3">
      <c r="A20" s="48" t="str">
        <f>'Приложение 2'!A231</f>
        <v>Подпрограмма "Развитие дополнительного образования детей"</v>
      </c>
      <c r="B20" s="65" t="str">
        <f>'Приложение 2'!D230</f>
        <v>53</v>
      </c>
      <c r="C20" s="65" t="s">
        <v>175</v>
      </c>
      <c r="D20" s="65"/>
      <c r="E20" s="66">
        <f>SUM(E21:E22)</f>
        <v>11531.28487</v>
      </c>
      <c r="F20" s="66">
        <f>SUM(F21:F22)</f>
        <v>11301.91122</v>
      </c>
      <c r="G20" s="98">
        <f t="shared" si="0"/>
        <v>98.01085783079783</v>
      </c>
    </row>
    <row r="21" spans="1:7" ht="24.75" customHeight="1" outlineLevel="3">
      <c r="A21" s="47" t="str">
        <f>'Приложение 2'!A232</f>
        <v>Предоставление субсидий бюджетным, автономным учреждениям и иным некоммерческим организациям (ДШИ)</v>
      </c>
      <c r="B21" s="38" t="str">
        <f>'Приложение 2'!D232</f>
        <v>53</v>
      </c>
      <c r="C21" s="38">
        <f>'Приложение 2'!E232</f>
        <v>3</v>
      </c>
      <c r="D21" s="41">
        <f>'Приложение 2'!F232</f>
        <v>600</v>
      </c>
      <c r="E21" s="64">
        <f>'Приложение 2'!G232</f>
        <v>5726.65266</v>
      </c>
      <c r="F21" s="64">
        <f>'Приложение 2'!H232</f>
        <v>5626.10974</v>
      </c>
      <c r="G21" s="96">
        <f t="shared" si="0"/>
        <v>98.24429861614831</v>
      </c>
    </row>
    <row r="22" spans="1:7" ht="23.25" customHeight="1" outlineLevel="3">
      <c r="A22" s="47" t="str">
        <f>'Приложение 2'!A233</f>
        <v>Предоставление субсидий бюджетным, автономным учреждениям и иным некоммерческим организациям (ДЮСШ)</v>
      </c>
      <c r="B22" s="38" t="str">
        <f>'Приложение 2'!D233</f>
        <v>53</v>
      </c>
      <c r="C22" s="38">
        <f>'Приложение 2'!E233</f>
        <v>3</v>
      </c>
      <c r="D22" s="41">
        <f>'Приложение 2'!F233</f>
        <v>600</v>
      </c>
      <c r="E22" s="64">
        <f>'Приложение 2'!G233+'Приложение 2'!G234</f>
        <v>5804.63221</v>
      </c>
      <c r="F22" s="64">
        <f>'Приложение 2'!H233+'Приложение 2'!H234</f>
        <v>5675.80148</v>
      </c>
      <c r="G22" s="96">
        <f t="shared" si="0"/>
        <v>97.78055309381953</v>
      </c>
    </row>
    <row r="23" spans="1:7" ht="36" outlineLevel="3">
      <c r="A23" s="49" t="str">
        <f>'Приложение 2'!A246</f>
        <v>Ведомственная целевая программа "Молодежная политика на территории Алексеевского муниципального района на 2022-2024 годы" (СДЦ)</v>
      </c>
      <c r="B23" s="65" t="str">
        <f>'Приложение 2'!D246</f>
        <v>56</v>
      </c>
      <c r="C23" s="65">
        <f>'Приложение 2'!E246</f>
        <v>0</v>
      </c>
      <c r="D23" s="65"/>
      <c r="E23" s="66">
        <f>SUM(E24)</f>
        <v>4784.24205</v>
      </c>
      <c r="F23" s="66">
        <f>SUM(F24)</f>
        <v>4784.24205</v>
      </c>
      <c r="G23" s="98">
        <f t="shared" si="0"/>
        <v>100</v>
      </c>
    </row>
    <row r="24" spans="1:7" ht="24" outlineLevel="3">
      <c r="A24" s="46" t="str">
        <f>'Приложение 2'!A247</f>
        <v>Предоставление субсидий бюджетным, автономным учреждениям и иным некоммерческим организациям</v>
      </c>
      <c r="B24" s="38" t="str">
        <f>'Приложение 2'!D247</f>
        <v>56</v>
      </c>
      <c r="C24" s="38">
        <f>'Приложение 2'!E247</f>
        <v>0</v>
      </c>
      <c r="D24" s="38">
        <f>'Приложение 2'!F247</f>
        <v>600</v>
      </c>
      <c r="E24" s="64">
        <f>SUM('Приложение 2'!G246)</f>
        <v>4784.24205</v>
      </c>
      <c r="F24" s="64">
        <f>SUM('Приложение 2'!H246)</f>
        <v>4784.24205</v>
      </c>
      <c r="G24" s="96">
        <f t="shared" si="0"/>
        <v>100</v>
      </c>
    </row>
    <row r="25" spans="1:7" ht="48" outlineLevel="3">
      <c r="A25" s="49" t="str">
        <f>'Приложение 2'!A259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5" s="65" t="str">
        <f>'Приложение 2'!D259</f>
        <v>58</v>
      </c>
      <c r="C25" s="65">
        <f>'Приложение 2'!E259</f>
        <v>0</v>
      </c>
      <c r="D25" s="65"/>
      <c r="E25" s="66">
        <f>SUM(E26:E28)</f>
        <v>1421.23901</v>
      </c>
      <c r="F25" s="66">
        <f>SUM(F26:F28)</f>
        <v>1421.23901</v>
      </c>
      <c r="G25" s="98">
        <f t="shared" si="0"/>
        <v>100</v>
      </c>
    </row>
    <row r="26" spans="1:7" ht="48" outlineLevel="3">
      <c r="A26" s="46" t="str">
        <f>'Приложение 2'!A260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" s="38" t="s">
        <v>22</v>
      </c>
      <c r="C26" s="38" t="s">
        <v>9</v>
      </c>
      <c r="D26" s="38" t="s">
        <v>165</v>
      </c>
      <c r="E26" s="64">
        <f>SUM('Приложение 2'!G260)</f>
        <v>1421.23472</v>
      </c>
      <c r="F26" s="64">
        <f>SUM('Приложение 2'!H260)</f>
        <v>1421.23472</v>
      </c>
      <c r="G26" s="96">
        <f t="shared" si="0"/>
        <v>100</v>
      </c>
    </row>
    <row r="27" spans="1:7" ht="24" outlineLevel="3">
      <c r="A27" s="46" t="str">
        <f>'Приложение 2'!A261</f>
        <v>Закупка товаров, работ и услуг для государственных (муниципальных) нужд</v>
      </c>
      <c r="B27" s="38" t="s">
        <v>22</v>
      </c>
      <c r="C27" s="38" t="s">
        <v>9</v>
      </c>
      <c r="D27" s="38" t="s">
        <v>144</v>
      </c>
      <c r="E27" s="64">
        <f>SUM('Приложение 2'!G261)</f>
        <v>0</v>
      </c>
      <c r="F27" s="64">
        <f>SUM('Приложение 2'!H261)</f>
        <v>0</v>
      </c>
      <c r="G27" s="96">
        <v>0</v>
      </c>
    </row>
    <row r="28" spans="1:7" ht="12.75" outlineLevel="3">
      <c r="A28" s="46" t="str">
        <f>'Приложение 2'!A262</f>
        <v>Иные бюджетные ассигнования</v>
      </c>
      <c r="B28" s="38" t="s">
        <v>22</v>
      </c>
      <c r="C28" s="38" t="s">
        <v>9</v>
      </c>
      <c r="D28" s="38" t="s">
        <v>166</v>
      </c>
      <c r="E28" s="64">
        <f>SUM('Приложение 2'!G262)</f>
        <v>0.00429</v>
      </c>
      <c r="F28" s="64">
        <f>SUM('Приложение 2'!H262)</f>
        <v>0.00429</v>
      </c>
      <c r="G28" s="96">
        <f t="shared" si="0"/>
        <v>100</v>
      </c>
    </row>
    <row r="29" spans="1:7" ht="36" outlineLevel="5">
      <c r="A29" s="49" t="str">
        <f>'Приложение 2'!A274</f>
        <v>Ведомственная целевая программа "Развитие культуры и искусства в Алексеевском муниципальном районе на 2022-2024 годы"</v>
      </c>
      <c r="B29" s="65" t="str">
        <f>'Приложение 2'!D274</f>
        <v>59</v>
      </c>
      <c r="C29" s="65">
        <f>'Приложение 2'!E274</f>
        <v>0</v>
      </c>
      <c r="D29" s="65"/>
      <c r="E29" s="66">
        <f>SUM(E30)</f>
        <v>14238.44151</v>
      </c>
      <c r="F29" s="66">
        <f>SUM(F30)</f>
        <v>13355.170390000001</v>
      </c>
      <c r="G29" s="98">
        <f t="shared" si="0"/>
        <v>93.7965744398384</v>
      </c>
    </row>
    <row r="30" spans="1:7" ht="24" outlineLevel="5">
      <c r="A30" s="46" t="str">
        <f>'Приложение 2'!A276</f>
        <v>Предоставление субсидий бюджетным, автономным учреждениям и иным некоммерческим организациям</v>
      </c>
      <c r="B30" s="38" t="s">
        <v>23</v>
      </c>
      <c r="C30" s="38" t="s">
        <v>9</v>
      </c>
      <c r="D30" s="38" t="s">
        <v>167</v>
      </c>
      <c r="E30" s="64">
        <f>SUM('Приложение 2'!G274)</f>
        <v>14238.44151</v>
      </c>
      <c r="F30" s="64">
        <f>SUM('Приложение 2'!H274)</f>
        <v>13355.170390000001</v>
      </c>
      <c r="G30" s="96">
        <f t="shared" si="0"/>
        <v>93.7965744398384</v>
      </c>
    </row>
    <row r="31" spans="1:7" ht="36">
      <c r="A31" s="48" t="str">
        <f>'Приложение 2'!A340</f>
        <v>Ведомственная целевая программа "Поддержка средств массовой информации в Алексеевском муниципальном районе на 2022-2024 годы"</v>
      </c>
      <c r="B31" s="65" t="str">
        <f>'Приложение 2'!D340</f>
        <v>61</v>
      </c>
      <c r="C31" s="65">
        <f>'Приложение 2'!E340</f>
        <v>0</v>
      </c>
      <c r="D31" s="65"/>
      <c r="E31" s="66">
        <f>SUM(E32)</f>
        <v>2147.7</v>
      </c>
      <c r="F31" s="66">
        <f>SUM(F32)</f>
        <v>2147.7</v>
      </c>
      <c r="G31" s="98">
        <f t="shared" si="0"/>
        <v>100</v>
      </c>
    </row>
    <row r="32" spans="1:7" ht="24">
      <c r="A32" s="47" t="str">
        <f>'Приложение 2'!A341</f>
        <v>Предоставление субсидий бюджетным, автономным учреждениям и иным некоммерческим организациям</v>
      </c>
      <c r="B32" s="38" t="str">
        <f>'Приложение 2'!D341</f>
        <v>61</v>
      </c>
      <c r="C32" s="38">
        <f>'Приложение 2'!E341</f>
        <v>0</v>
      </c>
      <c r="D32" s="38">
        <f>'Приложение 2'!F341</f>
        <v>600</v>
      </c>
      <c r="E32" s="64">
        <f>'Приложение 2'!G340</f>
        <v>2147.7</v>
      </c>
      <c r="F32" s="64">
        <f>'Приложение 2'!H340</f>
        <v>2147.7</v>
      </c>
      <c r="G32" s="96">
        <f t="shared" si="0"/>
        <v>100</v>
      </c>
    </row>
    <row r="33" spans="1:7" ht="12.75">
      <c r="A33" s="48" t="s">
        <v>95</v>
      </c>
      <c r="B33" s="65"/>
      <c r="C33" s="67"/>
      <c r="D33" s="68"/>
      <c r="E33" s="66">
        <f>SUM(E8+E10+E12+E23+E25+E29+E31)</f>
        <v>353706.25036000006</v>
      </c>
      <c r="F33" s="66">
        <f>SUM(F8+F10+F12+F23+F25+F29+F31)</f>
        <v>329766.74186</v>
      </c>
      <c r="G33" s="98">
        <f t="shared" si="0"/>
        <v>93.23181072552872</v>
      </c>
    </row>
    <row r="34" ht="15">
      <c r="D34" s="17"/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spans="1:7" s="14" customFormat="1" ht="15">
      <c r="A42" s="7"/>
      <c r="B42" s="12"/>
      <c r="C42" s="13"/>
      <c r="D42" s="17"/>
      <c r="E42" s="2"/>
      <c r="F42" s="2"/>
      <c r="G42" s="2"/>
    </row>
    <row r="43" spans="1:7" s="14" customFormat="1" ht="15">
      <c r="A43" s="7"/>
      <c r="B43" s="12"/>
      <c r="C43" s="13"/>
      <c r="D43" s="17"/>
      <c r="E43" s="2"/>
      <c r="F43" s="2"/>
      <c r="G43" s="2"/>
    </row>
  </sheetData>
  <sheetProtection/>
  <mergeCells count="5">
    <mergeCell ref="E6:F6"/>
    <mergeCell ref="C1:G1"/>
    <mergeCell ref="C3:G3"/>
    <mergeCell ref="A4:G4"/>
    <mergeCell ref="A2:G2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2024-03-06T10:35:04Z</cp:lastPrinted>
  <dcterms:created xsi:type="dcterms:W3CDTF">2002-03-11T10:22:12Z</dcterms:created>
  <dcterms:modified xsi:type="dcterms:W3CDTF">2024-03-06T10:35:38Z</dcterms:modified>
  <cp:category/>
  <cp:version/>
  <cp:contentType/>
  <cp:contentStatus/>
</cp:coreProperties>
</file>