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20" windowWidth="14535" windowHeight="12195" activeTab="0"/>
  </bookViews>
  <sheets>
    <sheet name="Приложение 2" sheetId="1" r:id="rId1"/>
    <sheet name="Приложение 3" sheetId="2" state="hidden" r:id="rId2"/>
    <sheet name="Таблица №8" sheetId="3" state="hidden" r:id="rId3"/>
    <sheet name="Таблица №12" sheetId="4" state="hidden" r:id="rId4"/>
    <sheet name="Таблица №13" sheetId="5" state="hidden" r:id="rId5"/>
  </sheets>
  <externalReferences>
    <externalReference r:id="rId8"/>
  </externalReferences>
  <definedNames>
    <definedName name="APPT" localSheetId="1">'Приложение 3'!#REF!</definedName>
    <definedName name="APPT" localSheetId="3">'Таблица №12'!#REF!</definedName>
    <definedName name="APPT" localSheetId="4">'Таблица №13'!#REF!</definedName>
    <definedName name="APPT" localSheetId="2">'Таблица №8'!#REF!</definedName>
    <definedName name="FIO" localSheetId="1">'Приложение 3'!#REF!</definedName>
    <definedName name="FIO" localSheetId="3">'Таблица №12'!#REF!</definedName>
    <definedName name="FIO" localSheetId="4">'Таблица №13'!#REF!</definedName>
    <definedName name="FIO" localSheetId="2">'Таблица №8'!#REF!</definedName>
    <definedName name="SIGN" localSheetId="1">'Приложение 3'!$A$22:$E$23</definedName>
    <definedName name="SIGN" localSheetId="3">'Таблица №12'!#REF!</definedName>
    <definedName name="SIGN" localSheetId="4">'Таблица №13'!#REF!</definedName>
    <definedName name="SIGN" localSheetId="2">'Таблица №8'!#REF!</definedName>
  </definedNames>
  <calcPr fullCalcOnLoad="1"/>
</workbook>
</file>

<file path=xl/sharedStrings.xml><?xml version="1.0" encoding="utf-8"?>
<sst xmlns="http://schemas.openxmlformats.org/spreadsheetml/2006/main" count="1733" uniqueCount="362">
  <si>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</si>
  <si>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</si>
  <si>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</si>
  <si>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</si>
  <si>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</si>
  <si>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</si>
  <si>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</si>
  <si>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</si>
  <si>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</si>
  <si>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</si>
  <si>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</si>
  <si>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</si>
  <si>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</si>
  <si>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</si>
  <si>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</si>
  <si>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</si>
  <si>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</si>
  <si>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</si>
  <si>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</si>
  <si>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</si>
  <si>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</si>
  <si>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</si>
  <si>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</si>
  <si>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</si>
  <si>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</si>
  <si>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</si>
  <si>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</si>
  <si>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</si>
  <si>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</si>
  <si>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</si>
  <si>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</si>
  <si>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</si>
  <si>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</si>
  <si>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</si>
  <si>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</si>
  <si>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</si>
  <si>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</si>
  <si>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</si>
  <si>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</si>
  <si>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</si>
  <si>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</si>
  <si>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</si>
  <si>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</si>
  <si>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</si>
  <si>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</si>
  <si>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</si>
  <si>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</si>
  <si>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</si>
  <si>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</si>
  <si>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</si>
  <si>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</si>
  <si>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</si>
  <si>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</si>
  <si>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</si>
  <si>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</si>
  <si>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</si>
  <si>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</si>
  <si>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</si>
  <si>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</si>
  <si>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</si>
  <si>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</si>
  <si>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</si>
  <si>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</si>
  <si>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</si>
  <si>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</si>
  <si>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</si>
  <si>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</si>
  <si>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</si>
  <si>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</si>
  <si>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</si>
  <si>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</si>
  <si>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</si>
  <si>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</si>
  <si>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</si>
  <si>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</si>
  <si>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</si>
  <si>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</si>
  <si>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</si>
  <si>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</si>
  <si>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</si>
  <si>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</si>
  <si>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</si>
  <si>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</si>
  <si>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</si>
  <si>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</si>
  <si>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</si>
  <si>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</si>
  <si>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</si>
  <si>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</si>
  <si>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</si>
  <si>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</si>
  <si>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</si>
  <si>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</si>
  <si>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</si>
  <si>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</si>
  <si>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</si>
  <si>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</si>
  <si>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</si>
  <si>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</si>
  <si>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</si>
  <si>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</si>
  <si>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</si>
  <si>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</si>
  <si>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</si>
  <si>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</si>
  <si>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</si>
  <si>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</si>
  <si>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</si>
  <si>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</si>
  <si>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</si>
  <si>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</si>
  <si>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</si>
  <si>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</si>
  <si>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</si>
  <si>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</si>
  <si>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</si>
  <si>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</si>
  <si>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</si>
  <si>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</si>
  <si>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</si>
  <si>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</si>
  <si>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</si>
  <si>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</si>
  <si>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</si>
  <si>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</si>
  <si>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</si>
  <si>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</si>
  <si>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</si>
  <si>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</si>
  <si>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</si>
  <si>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</si>
  <si>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</si>
  <si>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</si>
  <si>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</si>
  <si>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</si>
  <si>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</si>
  <si>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</si>
  <si>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</si>
  <si>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</si>
  <si>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</si>
  <si>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</si>
  <si>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</si>
  <si>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</si>
  <si>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</si>
  <si>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</si>
  <si>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</si>
  <si>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</si>
  <si>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</si>
  <si>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</si>
  <si>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</si>
  <si>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</si>
  <si>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</si>
  <si>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</si>
  <si>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</si>
  <si>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</si>
  <si>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</si>
  <si>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</si>
  <si>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</si>
  <si>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</si>
  <si>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</si>
  <si>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</si>
  <si>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</si>
  <si>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</si>
  <si>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</si>
  <si>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</si>
  <si>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Группа вида расходов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</si>
  <si>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</si>
  <si>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</si>
  <si>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</si>
  <si>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</si>
  <si>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</si>
  <si>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</si>
  <si>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</si>
  <si>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</si>
  <si>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</si>
  <si>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</si>
  <si>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</si>
  <si>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</si>
  <si>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</si>
  <si>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</si>
  <si>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</si>
  <si>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</si>
  <si>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</si>
  <si>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</si>
  <si>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</si>
  <si>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</si>
  <si>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</si>
  <si>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</si>
  <si>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</si>
  <si>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</si>
  <si>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</si>
  <si>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</si>
  <si>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</si>
  <si>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</si>
  <si>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</si>
  <si>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</si>
  <si>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</si>
  <si>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</si>
  <si>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</si>
  <si>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</si>
  <si>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</si>
  <si>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</si>
  <si>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</si>
  <si>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</si>
  <si>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</si>
  <si>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</si>
  <si>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</si>
  <si>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</si>
  <si>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</si>
  <si>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</si>
  <si>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</si>
  <si>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</si>
  <si>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</si>
  <si>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</si>
  <si>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</si>
  <si>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</si>
  <si>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</si>
  <si>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</si>
  <si>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</si>
  <si>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</si>
  <si>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Таблица №12</t>
  </si>
  <si>
    <t>Таблица №13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</si>
  <si>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</si>
  <si>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</si>
  <si>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</si>
  <si>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</si>
  <si>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</si>
  <si>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</si>
  <si>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</si>
  <si>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</si>
  <si>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</si>
  <si>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</si>
  <si>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</si>
  <si>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</si>
  <si>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 Мероприятия, направленные на стабилизацию обстановки в семье, оказавшейся в социально опасном положении"</t>
  </si>
  <si>
    <t>Основное мероприятие " Мероприятия, направленные на формирование среды, доброжелательной к детям"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</si>
  <si>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</si>
  <si>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</si>
  <si>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</si>
  <si>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</si>
  <si>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</si>
  <si>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</si>
  <si>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</si>
  <si>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</si>
  <si>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</si>
  <si>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</si>
  <si>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</si>
  <si>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</si>
  <si>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</si>
  <si>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</si>
  <si>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</si>
  <si>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</si>
  <si>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</si>
  <si>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</si>
  <si>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</si>
  <si>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</si>
  <si>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</si>
  <si>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</si>
  <si>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</si>
  <si>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</si>
  <si>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</si>
  <si>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</si>
  <si>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</si>
  <si>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</si>
  <si>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</si>
  <si>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</si>
  <si>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</si>
  <si>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</si>
  <si>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</si>
  <si>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</si>
  <si>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</si>
  <si>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</si>
  <si>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</si>
  <si>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</si>
  <si>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</si>
  <si>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</si>
  <si>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</si>
  <si>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</si>
  <si>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</si>
  <si>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</si>
  <si>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</si>
  <si>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</si>
  <si>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</si>
  <si>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</si>
  <si>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 xml:space="preserve">Обслуживание государственного (муниципального) долга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</si>
  <si>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</si>
  <si>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</si>
  <si>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</si>
  <si>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</si>
  <si>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</si>
  <si>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</si>
  <si>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</si>
  <si>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</si>
  <si>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</si>
  <si>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</si>
  <si>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</si>
  <si>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</si>
  <si>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</si>
  <si>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</si>
  <si>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</si>
  <si>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</si>
  <si>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</si>
  <si>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>Ведомственная целевая программа "Развитие образования детей на территории Алексеевского муниципального района на 2020-2022 годы"</t>
  </si>
  <si>
    <t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</si>
  <si>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</si>
  <si>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</si>
  <si>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</si>
  <si>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</si>
  <si>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</si>
  <si>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06</t>
  </si>
  <si>
    <t>А1</t>
  </si>
  <si>
    <t>Основное мероприятие "Региональный проект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населения"</t>
  </si>
  <si>
    <t>Муниципальная программа "Развитие культуры и искусства в Алексеевском муниципальном районе на 2021-2025 годы"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</si>
  <si>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</si>
  <si>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</si>
  <si>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</si>
  <si>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</si>
  <si>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</si>
  <si>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</si>
  <si>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</si>
  <si>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</si>
  <si>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</si>
  <si>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</si>
  <si>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</si>
  <si>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Ведомственная целевая программа "Поддержка средств массовой информации в Алексеевском муниципальном районе на 2022-2024 годы"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</si>
  <si>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</si>
  <si>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</si>
  <si>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Ведомственная целевая программа "Развитие дошкольного образования детей на территории Алексеевского муниципального района на 2022-2024 годы"</t>
  </si>
  <si>
    <t>Ведомственная целевая программа "Молодежная политика на территории Алексеевского муниципального района на 2022-2024 годы" (СДЦ)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</si>
  <si>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t>
  </si>
  <si>
    <t>Ведомственная целевая программа "Развитие культуры и искусства в Алексеевском муниципальном районе на 2022-2024 годы"</t>
  </si>
  <si>
    <t>Распределение бюджетных ассигнований по разделам и подразделам, целевым статьям и видам расходов районного бюджета на 2022 год и плановый период 2023-2024 годов</t>
  </si>
  <si>
    <t>Распределение бюджетных ассигнований на реализацию муниципальных программ на 2022 год и плановый период 2023-2024 годы</t>
  </si>
  <si>
    <t>Основное мероприятие "Проведение в 2022 году комплексных кадастровых работ "</t>
  </si>
  <si>
    <t>Распределение бюджетных ассигнований на реализацию ведомственных целевых программ на 2022 год и плановый период 2023-2024 годов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</si>
  <si>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</si>
  <si>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</si>
  <si>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</si>
  <si>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в 2022 году комплексных кадастровых работ)</t>
  </si>
  <si>
    <t>Закупка товаров, работ и услуг для государственных (муниципальных) нужд (софинансирования)</t>
  </si>
  <si>
    <t>Проведение в 2022 году комплексных кадастровых работ</t>
  </si>
  <si>
    <t>Основное мероприятие "Тютерство"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</si>
  <si>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</si>
  <si>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Ведом ствен ная целе вая про грам ма</t>
  </si>
  <si>
    <t>Основное мероприятие "Благоустройство сельских территорий"</t>
  </si>
  <si>
    <t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t>
  </si>
  <si>
    <t>Межбюджетные трансферты (содержание на территории муниципального района межпоселенческих мест захоронения, организация ритуальных услуг)</t>
  </si>
  <si>
    <t>Резервный фонд Администрации Волгоградской области</t>
  </si>
  <si>
    <t>% исполнения</t>
  </si>
  <si>
    <t>Исполнено за 9 месяцев 2022 года</t>
  </si>
  <si>
    <t>Приложение №3</t>
  </si>
  <si>
    <t>УТВЕРЖДЕНО:</t>
  </si>
  <si>
    <t xml:space="preserve">постановлением  главы </t>
  </si>
  <si>
    <t>Алексеевского муниципального района</t>
  </si>
  <si>
    <t>от "__"__________2022 г.№________</t>
  </si>
  <si>
    <t xml:space="preserve">2022 год  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</si>
  <si>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2022 год </t>
  </si>
  <si>
    <t>Распределение бюджетных ассигнований по разделам и по подразделам классификации расходов районного бюджета за 9 месяцев 2022 года</t>
  </si>
  <si>
    <t>Приложение №2</t>
  </si>
  <si>
    <t>2022 год</t>
  </si>
  <si>
    <t xml:space="preserve">2022 год </t>
  </si>
  <si>
    <t>постановлением  администрации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</si>
</sst>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45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1" xfId="0" applyNumberFormat="1" applyFont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7" fillId="34" borderId="10" xfId="53" applyFont="1" applyFill="1" applyBorder="1" applyAlignment="1">
      <alignment horizontal="center" vertical="top" wrapText="1"/>
      <protection/>
    </xf>
    <xf numFmtId="0" fontId="11" fillId="33" borderId="10" xfId="0" applyNumberFormat="1" applyFont="1" applyFill="1" applyBorder="1" applyAlignment="1">
      <alignment horizontal="center" vertical="center" wrapText="1"/>
    </xf>
    <xf numFmtId="0" fontId="4" fillId="34" borderId="10" xfId="53" applyFont="1" applyFill="1" applyBorder="1" applyAlignment="1">
      <alignment horizontal="left" vertical="top" wrapText="1"/>
      <protection/>
    </xf>
    <xf numFmtId="173" fontId="12" fillId="34" borderId="10" xfId="53" applyNumberFormat="1" applyFont="1" applyFill="1" applyBorder="1" applyAlignment="1">
      <alignment horizontal="right" vertical="center" wrapText="1"/>
      <protection/>
    </xf>
    <xf numFmtId="49" fontId="4" fillId="34" borderId="10" xfId="53" applyNumberFormat="1" applyFont="1" applyFill="1" applyBorder="1" applyAlignment="1">
      <alignment horizontal="left" vertical="top" wrapText="1"/>
      <protection/>
    </xf>
    <xf numFmtId="0" fontId="11" fillId="33" borderId="10" xfId="0" applyNumberFormat="1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0" fontId="12" fillId="33" borderId="11" xfId="0" applyNumberFormat="1" applyFont="1" applyFill="1" applyBorder="1" applyAlignment="1">
      <alignment horizontal="center" vertical="center" wrapText="1"/>
    </xf>
    <xf numFmtId="0" fontId="65" fillId="33" borderId="10" xfId="0" applyNumberFormat="1" applyFont="1" applyFill="1" applyBorder="1" applyAlignment="1">
      <alignment horizontal="left" vertical="top" wrapText="1"/>
    </xf>
    <xf numFmtId="0" fontId="66" fillId="33" borderId="10" xfId="0" applyNumberFormat="1" applyFont="1" applyFill="1" applyBorder="1" applyAlignment="1">
      <alignment horizontal="left" vertical="top" wrapText="1"/>
    </xf>
    <xf numFmtId="0" fontId="67" fillId="33" borderId="10" xfId="0" applyNumberFormat="1" applyFont="1" applyFill="1" applyBorder="1" applyAlignment="1">
      <alignment horizontal="left" vertical="top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33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right" vertical="center" wrapText="1"/>
    </xf>
    <xf numFmtId="1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NumberFormat="1" applyFont="1" applyFill="1" applyBorder="1" applyAlignment="1">
      <alignment horizontal="right" vertical="center"/>
    </xf>
    <xf numFmtId="173" fontId="11" fillId="33" borderId="10" xfId="0" applyNumberFormat="1" applyFont="1" applyFill="1" applyBorder="1" applyAlignment="1">
      <alignment horizontal="right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73" fontId="14" fillId="33" borderId="10" xfId="0" applyNumberFormat="1" applyFont="1" applyFill="1" applyBorder="1" applyAlignment="1">
      <alignment horizontal="right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left" vertical="center" wrapText="1"/>
    </xf>
    <xf numFmtId="0" fontId="11" fillId="33" borderId="10" xfId="0" applyNumberFormat="1" applyFont="1" applyFill="1" applyBorder="1" applyAlignment="1">
      <alignment horizontal="left" vertical="center" wrapText="1"/>
    </xf>
    <xf numFmtId="1" fontId="11" fillId="33" borderId="10" xfId="0" applyNumberFormat="1" applyFont="1" applyFill="1" applyBorder="1" applyAlignment="1">
      <alignment horizontal="right" wrapText="1"/>
    </xf>
    <xf numFmtId="0" fontId="11" fillId="33" borderId="10" xfId="0" applyNumberFormat="1" applyFont="1" applyFill="1" applyBorder="1" applyAlignment="1">
      <alignment horizontal="right" wrapText="1"/>
    </xf>
    <xf numFmtId="49" fontId="11" fillId="33" borderId="10" xfId="0" applyNumberFormat="1" applyFont="1" applyFill="1" applyBorder="1" applyAlignment="1">
      <alignment horizontal="right" wrapText="1"/>
    </xf>
    <xf numFmtId="179" fontId="11" fillId="33" borderId="10" xfId="0" applyNumberFormat="1" applyFont="1" applyFill="1" applyBorder="1" applyAlignment="1">
      <alignment horizontal="right" wrapText="1"/>
    </xf>
    <xf numFmtId="49" fontId="3" fillId="34" borderId="10" xfId="53" applyNumberFormat="1" applyFont="1" applyFill="1" applyBorder="1" applyAlignment="1">
      <alignment horizontal="left" vertical="top" wrapText="1"/>
      <protection/>
    </xf>
    <xf numFmtId="0" fontId="3" fillId="34" borderId="10" xfId="53" applyFont="1" applyFill="1" applyBorder="1" applyAlignment="1">
      <alignment horizontal="left" vertical="top" wrapText="1"/>
      <protection/>
    </xf>
    <xf numFmtId="173" fontId="17" fillId="34" borderId="10" xfId="53" applyNumberFormat="1" applyFont="1" applyFill="1" applyBorder="1" applyAlignment="1">
      <alignment horizontal="right" vertical="center" wrapText="1"/>
      <protection/>
    </xf>
    <xf numFmtId="49" fontId="18" fillId="34" borderId="10" xfId="53" applyNumberFormat="1" applyFont="1" applyFill="1" applyBorder="1" applyAlignment="1">
      <alignment horizontal="left" vertical="top" wrapText="1"/>
      <protection/>
    </xf>
    <xf numFmtId="0" fontId="19" fillId="34" borderId="10" xfId="53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1" fontId="13" fillId="33" borderId="10" xfId="0" applyNumberFormat="1" applyFont="1" applyFill="1" applyBorder="1" applyAlignment="1">
      <alignment horizontal="center" vertical="center" textRotation="90" wrapText="1"/>
    </xf>
    <xf numFmtId="0" fontId="13" fillId="0" borderId="11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center" textRotation="90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6" fillId="0" borderId="11" xfId="0" applyNumberFormat="1" applyFont="1" applyBorder="1" applyAlignment="1">
      <alignment horizontal="center" vertical="center" textRotation="90" wrapText="1"/>
    </xf>
    <xf numFmtId="49" fontId="6" fillId="33" borderId="11" xfId="0" applyNumberFormat="1" applyFont="1" applyFill="1" applyBorder="1" applyAlignment="1">
      <alignment horizontal="center" vertical="center" textRotation="90" wrapText="1"/>
    </xf>
    <xf numFmtId="1" fontId="6" fillId="33" borderId="11" xfId="0" applyNumberFormat="1" applyFont="1" applyFill="1" applyBorder="1" applyAlignment="1">
      <alignment horizontal="center" vertical="center" textRotation="90" wrapText="1"/>
    </xf>
    <xf numFmtId="0" fontId="13" fillId="33" borderId="11" xfId="0" applyNumberFormat="1" applyFont="1" applyFill="1" applyBorder="1" applyAlignment="1">
      <alignment horizontal="center" vertical="center" textRotation="90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0" fontId="20" fillId="33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top" textRotation="90" wrapText="1"/>
    </xf>
    <xf numFmtId="49" fontId="22" fillId="0" borderId="10" xfId="0" applyNumberFormat="1" applyFont="1" applyFill="1" applyBorder="1" applyAlignment="1">
      <alignment horizontal="center" vertical="top" textRotation="90" wrapText="1"/>
    </xf>
    <xf numFmtId="173" fontId="12" fillId="33" borderId="10" xfId="0" applyNumberFormat="1" applyFont="1" applyFill="1" applyBorder="1" applyAlignment="1">
      <alignment horizontal="right" vertical="center" wrapText="1"/>
    </xf>
    <xf numFmtId="173" fontId="17" fillId="33" borderId="10" xfId="0" applyNumberFormat="1" applyFont="1" applyFill="1" applyBorder="1" applyAlignment="1">
      <alignment horizontal="right" vertical="center" wrapText="1"/>
    </xf>
    <xf numFmtId="173" fontId="16" fillId="33" borderId="10" xfId="0" applyNumberFormat="1" applyFont="1" applyFill="1" applyBorder="1" applyAlignment="1">
      <alignment horizontal="right" vertical="center" wrapText="1"/>
    </xf>
    <xf numFmtId="173" fontId="7" fillId="0" borderId="10" xfId="0" applyNumberFormat="1" applyFont="1" applyFill="1" applyBorder="1" applyAlignment="1">
      <alignment horizontal="right" vertical="center" wrapText="1"/>
    </xf>
    <xf numFmtId="173" fontId="7" fillId="0" borderId="10" xfId="0" applyNumberFormat="1" applyFont="1" applyFill="1" applyBorder="1" applyAlignment="1">
      <alignment horizontal="right" wrapText="1"/>
    </xf>
    <xf numFmtId="49" fontId="11" fillId="0" borderId="10" xfId="0" applyNumberFormat="1" applyFont="1" applyFill="1" applyBorder="1" applyAlignment="1">
      <alignment horizontal="right" wrapText="1"/>
    </xf>
    <xf numFmtId="1" fontId="11" fillId="0" borderId="10" xfId="0" applyNumberFormat="1" applyFont="1" applyFill="1" applyBorder="1" applyAlignment="1">
      <alignment horizontal="right" wrapText="1"/>
    </xf>
    <xf numFmtId="0" fontId="11" fillId="0" borderId="10" xfId="0" applyNumberFormat="1" applyFont="1" applyFill="1" applyBorder="1" applyAlignment="1">
      <alignment horizontal="right" wrapText="1"/>
    </xf>
    <xf numFmtId="173" fontId="7" fillId="0" borderId="10" xfId="0" applyNumberFormat="1" applyFont="1" applyFill="1" applyBorder="1" applyAlignment="1">
      <alignment horizontal="right" vertical="center"/>
    </xf>
    <xf numFmtId="0" fontId="11" fillId="0" borderId="10" xfId="0" applyNumberFormat="1" applyFont="1" applyFill="1" applyBorder="1" applyAlignment="1">
      <alignment wrapText="1"/>
    </xf>
    <xf numFmtId="0" fontId="16" fillId="0" borderId="10" xfId="0" applyNumberFormat="1" applyFont="1" applyFill="1" applyBorder="1" applyAlignment="1">
      <alignment horizontal="right" vertical="center" wrapText="1"/>
    </xf>
    <xf numFmtId="1" fontId="11" fillId="0" borderId="10" xfId="0" applyNumberFormat="1" applyFont="1" applyFill="1" applyBorder="1" applyAlignment="1">
      <alignment horizontal="right" vertical="center"/>
    </xf>
    <xf numFmtId="172" fontId="11" fillId="0" borderId="10" xfId="0" applyNumberFormat="1" applyFont="1" applyFill="1" applyBorder="1" applyAlignment="1">
      <alignment horizontal="right" vertical="center" wrapText="1"/>
    </xf>
    <xf numFmtId="0" fontId="12" fillId="34" borderId="12" xfId="53" applyFont="1" applyFill="1" applyBorder="1" applyAlignment="1">
      <alignment horizontal="right"/>
      <protection/>
    </xf>
    <xf numFmtId="0" fontId="9" fillId="0" borderId="0" xfId="0" applyFont="1" applyAlignment="1">
      <alignment horizontal="righ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 applyAlignment="1">
      <alignment horizontal="center" vertical="center" wrapText="1" shrinkToFit="1"/>
      <protection/>
    </xf>
    <xf numFmtId="172" fontId="11" fillId="0" borderId="12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right"/>
    </xf>
    <xf numFmtId="172" fontId="11" fillId="33" borderId="12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172" fontId="11" fillId="33" borderId="12" xfId="0" applyNumberFormat="1" applyFont="1" applyFill="1" applyBorder="1" applyAlignment="1">
      <alignment horizontal="right" vertical="top" wrapText="1"/>
    </xf>
    <xf numFmtId="172" fontId="6" fillId="33" borderId="12" xfId="0" applyNumberFormat="1" applyFont="1" applyFill="1" applyBorder="1" applyAlignment="1">
      <alignment horizontal="right" vertical="top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="110" zoomScaleNormal="110" zoomScalePageLayoutView="0" workbookViewId="0" topLeftCell="A41">
      <selection activeCell="D10" sqref="D10"/>
    </sheetView>
  </sheetViews>
  <sheetFormatPr defaultColWidth="9.140625" defaultRowHeight="12.75"/>
  <cols>
    <col min="1" max="1" width="5.7109375" style="20" customWidth="1"/>
    <col min="2" max="2" width="49.57421875" style="20" customWidth="1"/>
    <col min="3" max="3" width="11.28125" style="20" customWidth="1"/>
    <col min="4" max="4" width="11.8515625" style="20" customWidth="1"/>
    <col min="5" max="5" width="10.8515625" style="20" bestFit="1" customWidth="1"/>
    <col min="6" max="16384" width="9.140625" style="20" customWidth="1"/>
  </cols>
  <sheetData>
    <row r="1" spans="1:5" ht="16.5">
      <c r="A1" s="18" t="s">
        <v>120</v>
      </c>
      <c r="B1" s="110" t="s">
        <v>358</v>
      </c>
      <c r="C1" s="110"/>
      <c r="D1" s="110"/>
      <c r="E1" s="110"/>
    </row>
    <row r="2" spans="1:5" ht="16.5">
      <c r="A2" s="18"/>
      <c r="B2" s="110" t="s">
        <v>351</v>
      </c>
      <c r="C2" s="110"/>
      <c r="D2" s="110"/>
      <c r="E2" s="110"/>
    </row>
    <row r="3" spans="1:5" ht="16.5">
      <c r="A3" s="18"/>
      <c r="B3" s="111" t="s">
        <v>361</v>
      </c>
      <c r="C3" s="111"/>
      <c r="D3" s="111"/>
      <c r="E3" s="111"/>
    </row>
    <row r="4" spans="1:5" ht="16.5">
      <c r="A4" s="18"/>
      <c r="B4" s="111" t="s">
        <v>353</v>
      </c>
      <c r="C4" s="111"/>
      <c r="D4" s="111"/>
      <c r="E4" s="111"/>
    </row>
    <row r="5" spans="1:5" ht="16.5">
      <c r="A5" s="18"/>
      <c r="B5" s="111" t="s">
        <v>354</v>
      </c>
      <c r="C5" s="111"/>
      <c r="D5" s="111"/>
      <c r="E5" s="111"/>
    </row>
    <row r="6" spans="1:5" ht="63.75" customHeight="1">
      <c r="A6" s="112" t="s">
        <v>357</v>
      </c>
      <c r="B6" s="112"/>
      <c r="C6" s="112"/>
      <c r="D6" s="112"/>
      <c r="E6" s="112"/>
    </row>
    <row r="7" spans="1:5" ht="16.5">
      <c r="A7" s="21" t="s">
        <v>123</v>
      </c>
      <c r="B7" s="19"/>
      <c r="C7" s="109"/>
      <c r="D7" s="109"/>
      <c r="E7" s="81" t="s">
        <v>283</v>
      </c>
    </row>
    <row r="8" spans="1:5" ht="39" customHeight="1">
      <c r="A8" s="40" t="s">
        <v>124</v>
      </c>
      <c r="B8" s="40" t="s">
        <v>125</v>
      </c>
      <c r="C8" s="35" t="s">
        <v>355</v>
      </c>
      <c r="D8" s="35" t="s">
        <v>349</v>
      </c>
      <c r="E8" s="35" t="s">
        <v>348</v>
      </c>
    </row>
    <row r="9" spans="1:5" ht="16.5" customHeight="1">
      <c r="A9" s="75" t="s">
        <v>41</v>
      </c>
      <c r="B9" s="76" t="s">
        <v>126</v>
      </c>
      <c r="C9" s="77">
        <f>SUM(C10:C18)</f>
        <v>81244.77489999999</v>
      </c>
      <c r="D9" s="77">
        <f>SUM(D10:D18)</f>
        <v>60758.54356999999</v>
      </c>
      <c r="E9" s="97">
        <f aca="true" t="shared" si="0" ref="E9:E61">SUM(D9/C9)*100</f>
        <v>74.78455524651838</v>
      </c>
    </row>
    <row r="10" spans="1:5" ht="29.25" customHeight="1">
      <c r="A10" s="44" t="s">
        <v>42</v>
      </c>
      <c r="B10" s="42" t="s">
        <v>127</v>
      </c>
      <c r="C10" s="43">
        <f>SUM('Таблица №8'!F11)</f>
        <v>2086.4428</v>
      </c>
      <c r="D10" s="43">
        <f>SUM('Таблица №8'!G11)</f>
        <v>1204.83291</v>
      </c>
      <c r="E10" s="96">
        <f t="shared" si="0"/>
        <v>57.74579154530382</v>
      </c>
    </row>
    <row r="11" spans="1:5" ht="30.75" customHeight="1">
      <c r="A11" s="44" t="s">
        <v>28</v>
      </c>
      <c r="B11" s="42" t="s">
        <v>25</v>
      </c>
      <c r="C11" s="43">
        <f>SUM('Таблица №8'!F14)</f>
        <v>533.5</v>
      </c>
      <c r="D11" s="43">
        <f>SUM('Таблица №8'!G14)</f>
        <v>352.07802</v>
      </c>
      <c r="E11" s="96">
        <f t="shared" si="0"/>
        <v>65.99400562324274</v>
      </c>
    </row>
    <row r="12" spans="1:5" ht="62.25" customHeight="1">
      <c r="A12" s="44" t="s">
        <v>40</v>
      </c>
      <c r="B12" s="42" t="s">
        <v>34</v>
      </c>
      <c r="C12" s="43">
        <f>SUM('Таблица №8'!F20)</f>
        <v>33720.5072</v>
      </c>
      <c r="D12" s="43">
        <f>SUM('Таблица №8'!G20)</f>
        <v>23263.079429999998</v>
      </c>
      <c r="E12" s="96">
        <f t="shared" si="0"/>
        <v>68.98792859794231</v>
      </c>
    </row>
    <row r="13" spans="1:5" ht="15" customHeight="1">
      <c r="A13" s="44" t="s">
        <v>43</v>
      </c>
      <c r="B13" s="42" t="s">
        <v>35</v>
      </c>
      <c r="C13" s="43">
        <f>SUM('Приложение 3'!G51)</f>
        <v>62.2</v>
      </c>
      <c r="D13" s="43">
        <f>SUM('Приложение 3'!H51)</f>
        <v>62.2</v>
      </c>
      <c r="E13" s="96">
        <f t="shared" si="0"/>
        <v>100</v>
      </c>
    </row>
    <row r="14" spans="1:5" ht="42.75" customHeight="1">
      <c r="A14" s="44" t="s">
        <v>31</v>
      </c>
      <c r="B14" s="42" t="s">
        <v>128</v>
      </c>
      <c r="C14" s="43">
        <f>SUM('Таблица №8'!F44)</f>
        <v>1652.5</v>
      </c>
      <c r="D14" s="43">
        <f>SUM('Таблица №8'!G44)</f>
        <v>1150.59875</v>
      </c>
      <c r="E14" s="96">
        <f t="shared" si="0"/>
        <v>69.62776096822995</v>
      </c>
    </row>
    <row r="15" spans="1:5" ht="1.5" customHeight="1" hidden="1">
      <c r="A15" s="44" t="s">
        <v>44</v>
      </c>
      <c r="B15" s="42" t="s">
        <v>36</v>
      </c>
      <c r="C15" s="43">
        <f>SUM('Таблица №8'!F51)</f>
        <v>0</v>
      </c>
      <c r="D15" s="43">
        <f>SUM('Таблица №8'!G51)</f>
        <v>0</v>
      </c>
      <c r="E15" s="96" t="e">
        <f t="shared" si="0"/>
        <v>#DIV/0!</v>
      </c>
    </row>
    <row r="16" spans="1:5" ht="16.5" customHeight="1">
      <c r="A16" s="44" t="s">
        <v>45</v>
      </c>
      <c r="B16" s="42" t="s">
        <v>129</v>
      </c>
      <c r="C16" s="43">
        <f>SUM('Таблица №8'!F55)</f>
        <v>320</v>
      </c>
      <c r="D16" s="43">
        <f>SUM('Таблица №8'!G55)</f>
        <v>0</v>
      </c>
      <c r="E16" s="96">
        <f t="shared" si="0"/>
        <v>0</v>
      </c>
    </row>
    <row r="17" spans="1:5" ht="16.5" customHeight="1">
      <c r="A17" s="44" t="s">
        <v>29</v>
      </c>
      <c r="B17" s="42" t="s">
        <v>46</v>
      </c>
      <c r="C17" s="43">
        <f>SUM('Таблица №8'!F57)-C18</f>
        <v>42869.6249</v>
      </c>
      <c r="D17" s="43">
        <f>SUM('Таблица №8'!G57)-D18</f>
        <v>34725.75445999999</v>
      </c>
      <c r="E17" s="96">
        <f t="shared" si="0"/>
        <v>81.00316842287086</v>
      </c>
    </row>
    <row r="18" spans="1:5" ht="16.5" customHeight="1">
      <c r="A18" s="44" t="s">
        <v>29</v>
      </c>
      <c r="B18" s="42" t="s">
        <v>47</v>
      </c>
      <c r="C18" s="43">
        <f>SUM('Таблица №8'!F92)</f>
        <v>0</v>
      </c>
      <c r="D18" s="43">
        <f>SUM('Таблица №8'!G92)</f>
        <v>0</v>
      </c>
      <c r="E18" s="96">
        <v>0</v>
      </c>
    </row>
    <row r="19" spans="1:5" ht="16.5" customHeight="1">
      <c r="A19" s="75" t="s">
        <v>111</v>
      </c>
      <c r="B19" s="76" t="s">
        <v>130</v>
      </c>
      <c r="C19" s="77">
        <f>SUM(C20)</f>
        <v>20</v>
      </c>
      <c r="D19" s="77">
        <f>SUM(D20)</f>
        <v>0</v>
      </c>
      <c r="E19" s="97">
        <f t="shared" si="0"/>
        <v>0</v>
      </c>
    </row>
    <row r="20" spans="1:5" ht="16.5" customHeight="1">
      <c r="A20" s="44" t="s">
        <v>50</v>
      </c>
      <c r="B20" s="42" t="s">
        <v>49</v>
      </c>
      <c r="C20" s="43">
        <f>SUM('Таблица №8'!F93)</f>
        <v>20</v>
      </c>
      <c r="D20" s="43">
        <f>SUM('Таблица №8'!G93)</f>
        <v>0</v>
      </c>
      <c r="E20" s="96">
        <f t="shared" si="0"/>
        <v>0</v>
      </c>
    </row>
    <row r="21" spans="1:5" ht="27.75" customHeight="1">
      <c r="A21" s="75" t="s">
        <v>112</v>
      </c>
      <c r="B21" s="76" t="s">
        <v>116</v>
      </c>
      <c r="C21" s="77">
        <f>SUM(C22:C23)</f>
        <v>70</v>
      </c>
      <c r="D21" s="77">
        <f>SUM(D22:D23)</f>
        <v>50</v>
      </c>
      <c r="E21" s="97">
        <f t="shared" si="0"/>
        <v>71.42857142857143</v>
      </c>
    </row>
    <row r="22" spans="1:5" ht="16.5" customHeight="1">
      <c r="A22" s="44" t="s">
        <v>51</v>
      </c>
      <c r="B22" s="42" t="s">
        <v>299</v>
      </c>
      <c r="C22" s="43">
        <f>SUM('Таблица №8'!F99)</f>
        <v>20</v>
      </c>
      <c r="D22" s="43">
        <f>SUM('Таблица №8'!G99)</f>
        <v>0</v>
      </c>
      <c r="E22" s="96">
        <f t="shared" si="0"/>
        <v>0</v>
      </c>
    </row>
    <row r="23" spans="1:5" ht="42.75" customHeight="1">
      <c r="A23" s="44" t="s">
        <v>298</v>
      </c>
      <c r="B23" s="42" t="s">
        <v>297</v>
      </c>
      <c r="C23" s="43">
        <f>SUM('Таблица №8'!F102)</f>
        <v>50</v>
      </c>
      <c r="D23" s="43">
        <f>SUM('Таблица №8'!G102)</f>
        <v>50</v>
      </c>
      <c r="E23" s="96">
        <f t="shared" si="0"/>
        <v>100</v>
      </c>
    </row>
    <row r="24" spans="1:5" ht="15.75" customHeight="1">
      <c r="A24" s="75" t="s">
        <v>59</v>
      </c>
      <c r="B24" s="76" t="s">
        <v>117</v>
      </c>
      <c r="C24" s="77">
        <f>SUM(C25:C27)</f>
        <v>40549.2632</v>
      </c>
      <c r="D24" s="77">
        <f>SUM(D25:D27)</f>
        <v>7935.1457</v>
      </c>
      <c r="E24" s="97">
        <f t="shared" si="0"/>
        <v>19.5691489161263</v>
      </c>
    </row>
    <row r="25" spans="1:5" ht="15.75" customHeight="1">
      <c r="A25" s="44" t="s">
        <v>144</v>
      </c>
      <c r="B25" s="42" t="s">
        <v>143</v>
      </c>
      <c r="C25" s="43">
        <f>SUM('Таблица №8'!F109)</f>
        <v>143.5</v>
      </c>
      <c r="D25" s="43">
        <f>SUM('Таблица №8'!G109)</f>
        <v>143.5</v>
      </c>
      <c r="E25" s="96">
        <f t="shared" si="0"/>
        <v>100</v>
      </c>
    </row>
    <row r="26" spans="1:5" ht="15.75" customHeight="1">
      <c r="A26" s="44" t="s">
        <v>52</v>
      </c>
      <c r="B26" s="42" t="s">
        <v>118</v>
      </c>
      <c r="C26" s="43">
        <f>SUM('Таблица №8'!F113)</f>
        <v>31338.108079999998</v>
      </c>
      <c r="D26" s="43">
        <f>SUM('Таблица №8'!G113)</f>
        <v>7379.2577</v>
      </c>
      <c r="E26" s="96">
        <f t="shared" si="0"/>
        <v>23.547234189001497</v>
      </c>
    </row>
    <row r="27" spans="1:5" ht="15.75" customHeight="1">
      <c r="A27" s="44" t="s">
        <v>53</v>
      </c>
      <c r="B27" s="42" t="s">
        <v>119</v>
      </c>
      <c r="C27" s="43">
        <f>SUM('Таблица №8'!F121)</f>
        <v>9067.65512</v>
      </c>
      <c r="D27" s="43">
        <f>SUM('Таблица №8'!G121)</f>
        <v>412.38800000000003</v>
      </c>
      <c r="E27" s="96">
        <f t="shared" si="0"/>
        <v>4.547901243954678</v>
      </c>
    </row>
    <row r="28" spans="1:5" ht="15.75" customHeight="1">
      <c r="A28" s="75" t="s">
        <v>56</v>
      </c>
      <c r="B28" s="76" t="s">
        <v>131</v>
      </c>
      <c r="C28" s="77">
        <f>SUM(C29:C30)</f>
        <v>26249.151289999998</v>
      </c>
      <c r="D28" s="77">
        <f>SUM(D29:D30)</f>
        <v>11134.357919999999</v>
      </c>
      <c r="E28" s="97">
        <f t="shared" si="0"/>
        <v>42.41797304982503</v>
      </c>
    </row>
    <row r="29" spans="1:5" ht="14.25" customHeight="1">
      <c r="A29" s="44" t="s">
        <v>57</v>
      </c>
      <c r="B29" s="42" t="s">
        <v>54</v>
      </c>
      <c r="C29" s="43">
        <f>SUM('Таблица №8'!F133)</f>
        <v>18943.76429</v>
      </c>
      <c r="D29" s="43">
        <f>SUM('Таблица №8'!G133)</f>
        <v>4838.97092</v>
      </c>
      <c r="E29" s="96">
        <f t="shared" si="0"/>
        <v>25.543872093860394</v>
      </c>
    </row>
    <row r="30" spans="1:5" ht="15">
      <c r="A30" s="44" t="s">
        <v>132</v>
      </c>
      <c r="B30" s="42" t="s">
        <v>133</v>
      </c>
      <c r="C30" s="43">
        <f>SUM('Таблица №8'!F146)</f>
        <v>7305.387</v>
      </c>
      <c r="D30" s="43">
        <f>SUM('Таблица №8'!G146)</f>
        <v>6295.387</v>
      </c>
      <c r="E30" s="96">
        <f t="shared" si="0"/>
        <v>86.17458595964868</v>
      </c>
    </row>
    <row r="31" spans="1:5" ht="15.75" customHeight="1">
      <c r="A31" s="75" t="s">
        <v>113</v>
      </c>
      <c r="B31" s="76" t="s">
        <v>58</v>
      </c>
      <c r="C31" s="77">
        <f>SUM(C32)</f>
        <v>20</v>
      </c>
      <c r="D31" s="77">
        <f>SUM(D32)</f>
        <v>0</v>
      </c>
      <c r="E31" s="96">
        <f t="shared" si="0"/>
        <v>0</v>
      </c>
    </row>
    <row r="32" spans="1:5" ht="15.75" customHeight="1">
      <c r="A32" s="44" t="s">
        <v>60</v>
      </c>
      <c r="B32" s="42" t="s">
        <v>336</v>
      </c>
      <c r="C32" s="43">
        <f>SUM('Таблица №8'!F152)</f>
        <v>20</v>
      </c>
      <c r="D32" s="43">
        <f>SUM('Таблица №8'!G152)</f>
        <v>0</v>
      </c>
      <c r="E32" s="96">
        <f t="shared" si="0"/>
        <v>0</v>
      </c>
    </row>
    <row r="33" spans="1:5" ht="18" customHeight="1">
      <c r="A33" s="75" t="s">
        <v>64</v>
      </c>
      <c r="B33" s="76" t="s">
        <v>61</v>
      </c>
      <c r="C33" s="77">
        <f>SUM(C34:C38)</f>
        <v>248470.90156999996</v>
      </c>
      <c r="D33" s="77">
        <f>SUM(D34:D38)</f>
        <v>172064.57645999998</v>
      </c>
      <c r="E33" s="97">
        <f t="shared" si="0"/>
        <v>69.24938710037458</v>
      </c>
    </row>
    <row r="34" spans="1:5" ht="18" customHeight="1">
      <c r="A34" s="44" t="s">
        <v>63</v>
      </c>
      <c r="B34" s="42" t="s">
        <v>62</v>
      </c>
      <c r="C34" s="43">
        <f>SUM('Таблица №8'!F157)</f>
        <v>38430.17319</v>
      </c>
      <c r="D34" s="43">
        <f>SUM('Таблица №8'!G157)</f>
        <v>24947.288940000002</v>
      </c>
      <c r="E34" s="96">
        <f t="shared" si="0"/>
        <v>64.91588996141083</v>
      </c>
    </row>
    <row r="35" spans="1:5" ht="18" customHeight="1">
      <c r="A35" s="44" t="s">
        <v>65</v>
      </c>
      <c r="B35" s="42" t="s">
        <v>70</v>
      </c>
      <c r="C35" s="43">
        <f>SUM('Таблица №8'!F179)</f>
        <v>191118.82837999996</v>
      </c>
      <c r="D35" s="43">
        <f>SUM('Таблица №8'!G179)</f>
        <v>134002.69155</v>
      </c>
      <c r="E35" s="96">
        <f t="shared" si="0"/>
        <v>70.1148561268718</v>
      </c>
    </row>
    <row r="36" spans="1:5" ht="18" customHeight="1">
      <c r="A36" s="44" t="s">
        <v>207</v>
      </c>
      <c r="B36" s="42" t="s">
        <v>206</v>
      </c>
      <c r="C36" s="43">
        <f>SUM('Таблица №8'!F218)</f>
        <v>10300</v>
      </c>
      <c r="D36" s="43">
        <f>SUM('Таблица №8'!G218)</f>
        <v>6941.40065</v>
      </c>
      <c r="E36" s="96">
        <f t="shared" si="0"/>
        <v>67.39223932038834</v>
      </c>
    </row>
    <row r="37" spans="1:5" ht="18" customHeight="1">
      <c r="A37" s="44" t="s">
        <v>71</v>
      </c>
      <c r="B37" s="42" t="s">
        <v>300</v>
      </c>
      <c r="C37" s="43">
        <f>SUM('Таблица №8'!F226)</f>
        <v>7326.9</v>
      </c>
      <c r="D37" s="43">
        <f>SUM('Таблица №8'!G226)</f>
        <v>5155.64546</v>
      </c>
      <c r="E37" s="96">
        <f t="shared" si="0"/>
        <v>70.36598643355308</v>
      </c>
    </row>
    <row r="38" spans="1:5" ht="18" customHeight="1">
      <c r="A38" s="44" t="s">
        <v>73</v>
      </c>
      <c r="B38" s="42" t="s">
        <v>72</v>
      </c>
      <c r="C38" s="43">
        <f>SUM('Таблица №8'!F242)</f>
        <v>1295</v>
      </c>
      <c r="D38" s="43">
        <f>SUM('Таблица №8'!G242)</f>
        <v>1017.54986</v>
      </c>
      <c r="E38" s="96">
        <f t="shared" si="0"/>
        <v>78.57527876447877</v>
      </c>
    </row>
    <row r="39" spans="1:5" ht="18" customHeight="1">
      <c r="A39" s="75" t="s">
        <v>114</v>
      </c>
      <c r="B39" s="76" t="s">
        <v>134</v>
      </c>
      <c r="C39" s="77">
        <f>SUM(C40:C42)</f>
        <v>12431.9</v>
      </c>
      <c r="D39" s="77">
        <f>SUM(D40:D42)</f>
        <v>8769.388260000002</v>
      </c>
      <c r="E39" s="97">
        <f t="shared" si="0"/>
        <v>70.53940475711678</v>
      </c>
    </row>
    <row r="40" spans="1:5" ht="18" customHeight="1">
      <c r="A40" s="44" t="s">
        <v>80</v>
      </c>
      <c r="B40" s="42" t="s">
        <v>115</v>
      </c>
      <c r="C40" s="43">
        <f>SUM('Таблица №8'!F250)</f>
        <v>11513.9</v>
      </c>
      <c r="D40" s="43">
        <f>SUM('Таблица №8'!G250)</f>
        <v>8203.60452</v>
      </c>
      <c r="E40" s="96">
        <f t="shared" si="0"/>
        <v>71.24957242984567</v>
      </c>
    </row>
    <row r="41" spans="1:5" ht="15.75" customHeight="1">
      <c r="A41" s="44" t="s">
        <v>81</v>
      </c>
      <c r="B41" s="42" t="s">
        <v>78</v>
      </c>
      <c r="C41" s="43">
        <f>SUM('Таблица №8'!F267)</f>
        <v>918</v>
      </c>
      <c r="D41" s="43">
        <f>SUM('Таблица №8'!G267)</f>
        <v>565.78374</v>
      </c>
      <c r="E41" s="96">
        <f t="shared" si="0"/>
        <v>61.632215686274506</v>
      </c>
    </row>
    <row r="42" spans="1:5" ht="20.25" customHeight="1" hidden="1">
      <c r="A42" s="44" t="s">
        <v>82</v>
      </c>
      <c r="B42" s="42" t="s">
        <v>79</v>
      </c>
      <c r="C42" s="43">
        <f>SUM('Таблица №8'!F269)</f>
        <v>0</v>
      </c>
      <c r="D42" s="43">
        <f>SUM('Таблица №8'!G269)</f>
        <v>0</v>
      </c>
      <c r="E42" s="96" t="e">
        <f t="shared" si="0"/>
        <v>#DIV/0!</v>
      </c>
    </row>
    <row r="43" spans="1:5" ht="18" customHeight="1" hidden="1">
      <c r="A43" s="75" t="s">
        <v>210</v>
      </c>
      <c r="B43" s="76" t="s">
        <v>209</v>
      </c>
      <c r="C43" s="77">
        <f>SUM(C44)</f>
        <v>0</v>
      </c>
      <c r="D43" s="77">
        <f>SUM(D44)</f>
        <v>0</v>
      </c>
      <c r="E43" s="96" t="e">
        <f t="shared" si="0"/>
        <v>#DIV/0!</v>
      </c>
    </row>
    <row r="44" spans="1:5" ht="0.75" customHeight="1" hidden="1">
      <c r="A44" s="44" t="s">
        <v>212</v>
      </c>
      <c r="B44" s="42" t="s">
        <v>211</v>
      </c>
      <c r="C44" s="43">
        <f>SUM('Таблица №8'!F274)</f>
        <v>0</v>
      </c>
      <c r="D44" s="43">
        <f>SUM('Таблица №8'!G274)</f>
        <v>0</v>
      </c>
      <c r="E44" s="96" t="e">
        <f t="shared" si="0"/>
        <v>#DIV/0!</v>
      </c>
    </row>
    <row r="45" spans="1:5" ht="18" customHeight="1">
      <c r="A45" s="75">
        <v>1000</v>
      </c>
      <c r="B45" s="76" t="s">
        <v>83</v>
      </c>
      <c r="C45" s="77">
        <f>SUM(C46:C49)</f>
        <v>26879.071560000004</v>
      </c>
      <c r="D45" s="77">
        <f>SUM(D46:D49)</f>
        <v>18857.64199</v>
      </c>
      <c r="E45" s="97">
        <f t="shared" si="0"/>
        <v>70.15734136465835</v>
      </c>
    </row>
    <row r="46" spans="1:5" ht="18" customHeight="1">
      <c r="A46" s="44">
        <v>1001</v>
      </c>
      <c r="B46" s="42" t="s">
        <v>84</v>
      </c>
      <c r="C46" s="43">
        <f>SUM('Таблица №8'!F279)</f>
        <v>4000</v>
      </c>
      <c r="D46" s="43">
        <f>SUM('Таблица №8'!G279)</f>
        <v>2902.94874</v>
      </c>
      <c r="E46" s="96">
        <f t="shared" si="0"/>
        <v>72.5737185</v>
      </c>
    </row>
    <row r="47" spans="1:5" ht="18" customHeight="1">
      <c r="A47" s="44">
        <v>1003</v>
      </c>
      <c r="B47" s="42" t="s">
        <v>87</v>
      </c>
      <c r="C47" s="43">
        <f>SUM('Таблица №8'!F282)</f>
        <v>14634.105000000001</v>
      </c>
      <c r="D47" s="43">
        <f>SUM('Таблица №8'!G282)</f>
        <v>9951.795559999999</v>
      </c>
      <c r="E47" s="96">
        <f t="shared" si="0"/>
        <v>68.00412843832949</v>
      </c>
    </row>
    <row r="48" spans="1:5" ht="18" customHeight="1">
      <c r="A48" s="44">
        <v>1004</v>
      </c>
      <c r="B48" s="42" t="s">
        <v>88</v>
      </c>
      <c r="C48" s="43">
        <f>SUM('Таблица №8'!F295)</f>
        <v>7245.571559999999</v>
      </c>
      <c r="D48" s="43">
        <f>SUM('Таблица №8'!G295)</f>
        <v>5290.7996299999995</v>
      </c>
      <c r="E48" s="96">
        <f t="shared" si="0"/>
        <v>73.02114934877547</v>
      </c>
    </row>
    <row r="49" spans="1:5" ht="18" customHeight="1">
      <c r="A49" s="44" t="s">
        <v>222</v>
      </c>
      <c r="B49" s="42" t="s">
        <v>223</v>
      </c>
      <c r="C49" s="43">
        <f>SUM('Таблица №8'!F307)</f>
        <v>999.395</v>
      </c>
      <c r="D49" s="43">
        <f>SUM('Таблица №8'!G307)</f>
        <v>712.09806</v>
      </c>
      <c r="E49" s="96">
        <f t="shared" si="0"/>
        <v>71.25291401297785</v>
      </c>
    </row>
    <row r="50" spans="1:5" ht="17.25" customHeight="1">
      <c r="A50" s="75" t="s">
        <v>135</v>
      </c>
      <c r="B50" s="76" t="s">
        <v>91</v>
      </c>
      <c r="C50" s="77">
        <f>SUM(C51:C53)</f>
        <v>400</v>
      </c>
      <c r="D50" s="77">
        <f>SUM(D51:D53)</f>
        <v>364.864</v>
      </c>
      <c r="E50" s="97">
        <f t="shared" si="0"/>
        <v>91.216</v>
      </c>
    </row>
    <row r="51" spans="1:5" ht="18" customHeight="1" hidden="1">
      <c r="A51" s="44" t="s">
        <v>213</v>
      </c>
      <c r="B51" s="42" t="s">
        <v>274</v>
      </c>
      <c r="C51" s="43">
        <f>SUM('Приложение 3'!G314)</f>
        <v>0</v>
      </c>
      <c r="D51" s="43">
        <f>SUM('Приложение 3'!H314)</f>
        <v>0</v>
      </c>
      <c r="E51" s="96" t="e">
        <f t="shared" si="0"/>
        <v>#DIV/0!</v>
      </c>
    </row>
    <row r="52" spans="1:5" ht="15" hidden="1">
      <c r="A52" s="44" t="s">
        <v>269</v>
      </c>
      <c r="B52" s="42" t="s">
        <v>270</v>
      </c>
      <c r="C52" s="43">
        <f>SUM('Приложение 3'!G318)</f>
        <v>0</v>
      </c>
      <c r="D52" s="43">
        <f>SUM('Приложение 3'!H318)</f>
        <v>0</v>
      </c>
      <c r="E52" s="96" t="e">
        <f t="shared" si="0"/>
        <v>#DIV/0!</v>
      </c>
    </row>
    <row r="53" spans="1:5" ht="26.25" customHeight="1">
      <c r="A53" s="44" t="s">
        <v>92</v>
      </c>
      <c r="B53" s="42" t="s">
        <v>214</v>
      </c>
      <c r="C53" s="43">
        <f>SUM('Таблица №8'!F321)</f>
        <v>400</v>
      </c>
      <c r="D53" s="43">
        <f>SUM('Таблица №8'!G321)</f>
        <v>364.864</v>
      </c>
      <c r="E53" s="96">
        <f t="shared" si="0"/>
        <v>91.216</v>
      </c>
    </row>
    <row r="54" spans="1:5" ht="18" customHeight="1">
      <c r="A54" s="75" t="s">
        <v>136</v>
      </c>
      <c r="B54" s="76" t="s">
        <v>93</v>
      </c>
      <c r="C54" s="77">
        <f>SUM(C55:C56)</f>
        <v>2182.9</v>
      </c>
      <c r="D54" s="77">
        <f>SUM(D55:D56)</f>
        <v>1917.9</v>
      </c>
      <c r="E54" s="97">
        <f t="shared" si="0"/>
        <v>87.86018599111274</v>
      </c>
    </row>
    <row r="55" spans="1:5" ht="18" customHeight="1" hidden="1">
      <c r="A55" s="44" t="s">
        <v>196</v>
      </c>
      <c r="B55" s="42" t="s">
        <v>195</v>
      </c>
      <c r="C55" s="43">
        <v>0</v>
      </c>
      <c r="D55" s="43">
        <v>0</v>
      </c>
      <c r="E55" s="96" t="e">
        <f t="shared" si="0"/>
        <v>#DIV/0!</v>
      </c>
    </row>
    <row r="56" spans="1:5" ht="18" customHeight="1">
      <c r="A56" s="44" t="s">
        <v>95</v>
      </c>
      <c r="B56" s="42" t="s">
        <v>94</v>
      </c>
      <c r="C56" s="43">
        <f>SUM('Приложение 3'!G326)</f>
        <v>2182.9</v>
      </c>
      <c r="D56" s="43">
        <f>SUM('Приложение 3'!H326)</f>
        <v>1917.9</v>
      </c>
      <c r="E56" s="96">
        <f t="shared" si="0"/>
        <v>87.86018599111274</v>
      </c>
    </row>
    <row r="57" spans="1:5" ht="29.25" customHeight="1">
      <c r="A57" s="75" t="s">
        <v>137</v>
      </c>
      <c r="B57" s="76" t="s">
        <v>284</v>
      </c>
      <c r="C57" s="77">
        <f>SUM(C58:C58)</f>
        <v>300</v>
      </c>
      <c r="D57" s="77">
        <f>SUM(D58:D58)</f>
        <v>211.96698</v>
      </c>
      <c r="E57" s="97">
        <f t="shared" si="0"/>
        <v>70.65566</v>
      </c>
    </row>
    <row r="58" spans="1:5" ht="30">
      <c r="A58" s="75" t="s">
        <v>96</v>
      </c>
      <c r="B58" s="42" t="s">
        <v>337</v>
      </c>
      <c r="C58" s="43">
        <f>SUM('Таблица №8'!F329)</f>
        <v>300</v>
      </c>
      <c r="D58" s="43">
        <f>SUM('Таблица №8'!G329)</f>
        <v>211.96698</v>
      </c>
      <c r="E58" s="96">
        <f t="shared" si="0"/>
        <v>70.65566</v>
      </c>
    </row>
    <row r="59" spans="1:5" ht="43.5" customHeight="1">
      <c r="A59" s="75" t="s">
        <v>167</v>
      </c>
      <c r="B59" s="76" t="s">
        <v>166</v>
      </c>
      <c r="C59" s="77">
        <f>SUM(C60:C60)</f>
        <v>17843.5</v>
      </c>
      <c r="D59" s="77">
        <f>SUM(D60:D60)</f>
        <v>13382.622</v>
      </c>
      <c r="E59" s="97">
        <f t="shared" si="0"/>
        <v>74.99998318715498</v>
      </c>
    </row>
    <row r="60" spans="1:5" ht="22.5" customHeight="1">
      <c r="A60" s="44" t="s">
        <v>169</v>
      </c>
      <c r="B60" s="42" t="s">
        <v>168</v>
      </c>
      <c r="C60" s="43">
        <f>SUM('Приложение 3'!G336)</f>
        <v>17843.5</v>
      </c>
      <c r="D60" s="43">
        <f>SUM('Приложение 3'!H336)</f>
        <v>13382.622</v>
      </c>
      <c r="E60" s="96">
        <f t="shared" si="0"/>
        <v>74.99998318715498</v>
      </c>
    </row>
    <row r="61" spans="1:5" ht="21" customHeight="1">
      <c r="A61" s="78"/>
      <c r="B61" s="79" t="s">
        <v>138</v>
      </c>
      <c r="C61" s="77">
        <f>C9+C19+C21+C24+C28+C31+C33+C39+C45+C50+C54+C57+C59+C43</f>
        <v>456661.46252</v>
      </c>
      <c r="D61" s="77">
        <f>D9+D19+D21+D24+D28+D31+D33+D39+D45+D50+D54+D57+D59+D43</f>
        <v>295447.00688</v>
      </c>
      <c r="E61" s="97">
        <f t="shared" si="0"/>
        <v>64.69716214931549</v>
      </c>
    </row>
  </sheetData>
  <sheetProtection/>
  <mergeCells count="7">
    <mergeCell ref="B1:E1"/>
    <mergeCell ref="B2:E2"/>
    <mergeCell ref="B3:E3"/>
    <mergeCell ref="B4:E4"/>
    <mergeCell ref="B5:E5"/>
    <mergeCell ref="C7:D7"/>
    <mergeCell ref="A6:E6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38"/>
  <sheetViews>
    <sheetView showGridLines="0" zoomScale="94" zoomScaleNormal="94" zoomScalePageLayoutView="0" workbookViewId="0" topLeftCell="A1">
      <pane ySplit="9" topLeftCell="A328" activePane="bottomLeft" state="frozen"/>
      <selection pane="topLeft" activeCell="A1" sqref="A1"/>
      <selection pane="bottomLeft" activeCell="R334" sqref="R334"/>
    </sheetView>
  </sheetViews>
  <sheetFormatPr defaultColWidth="9.140625" defaultRowHeight="12.75" outlineLevelRow="5"/>
  <cols>
    <col min="1" max="1" width="54.421875" style="7" customWidth="1"/>
    <col min="2" max="2" width="5.140625" style="12" customWidth="1"/>
    <col min="3" max="3" width="6.00390625" style="12" customWidth="1"/>
    <col min="4" max="4" width="4.57421875" style="25" customWidth="1"/>
    <col min="5" max="5" width="3.8515625" style="30" customWidth="1"/>
    <col min="6" max="6" width="6.00390625" style="11" customWidth="1"/>
    <col min="7" max="7" width="12.57421875" style="2" customWidth="1"/>
    <col min="8" max="8" width="12.7109375" style="2" customWidth="1"/>
    <col min="9" max="9" width="8.57421875" style="2" customWidth="1"/>
    <col min="10" max="16384" width="9.140625" style="2" customWidth="1"/>
  </cols>
  <sheetData>
    <row r="1" spans="5:9" ht="18">
      <c r="E1" s="26"/>
      <c r="F1" s="22"/>
      <c r="G1" s="110" t="s">
        <v>350</v>
      </c>
      <c r="H1" s="110"/>
      <c r="I1" s="110"/>
    </row>
    <row r="2" spans="5:9" ht="18.75">
      <c r="E2" s="26"/>
      <c r="F2" s="23"/>
      <c r="G2" s="110" t="s">
        <v>351</v>
      </c>
      <c r="H2" s="110"/>
      <c r="I2" s="110"/>
    </row>
    <row r="3" spans="5:9" ht="18.75">
      <c r="E3" s="26"/>
      <c r="F3" s="23"/>
      <c r="G3" s="110" t="s">
        <v>352</v>
      </c>
      <c r="H3" s="110"/>
      <c r="I3" s="110"/>
    </row>
    <row r="4" spans="5:9" ht="18.75" customHeight="1">
      <c r="E4" s="23"/>
      <c r="F4" s="23"/>
      <c r="G4" s="110" t="s">
        <v>353</v>
      </c>
      <c r="H4" s="110"/>
      <c r="I4" s="110"/>
    </row>
    <row r="5" spans="1:9" ht="18.75">
      <c r="A5" s="8"/>
      <c r="B5" s="1"/>
      <c r="C5" s="1"/>
      <c r="D5" s="27"/>
      <c r="E5" s="115" t="s">
        <v>354</v>
      </c>
      <c r="F5" s="115"/>
      <c r="G5" s="115"/>
      <c r="H5" s="115"/>
      <c r="I5" s="115"/>
    </row>
    <row r="6" spans="1:9" ht="33.75" customHeight="1">
      <c r="A6" s="114" t="s">
        <v>356</v>
      </c>
      <c r="B6" s="114"/>
      <c r="C6" s="114"/>
      <c r="D6" s="114"/>
      <c r="E6" s="114"/>
      <c r="F6" s="114"/>
      <c r="G6" s="114"/>
      <c r="H6" s="114"/>
      <c r="I6" s="114"/>
    </row>
    <row r="7" spans="1:6" ht="12.75">
      <c r="A7" s="6"/>
      <c r="B7" s="3"/>
      <c r="C7" s="3"/>
      <c r="D7" s="28"/>
      <c r="E7" s="29"/>
      <c r="F7" s="9"/>
    </row>
    <row r="8" spans="1:9" ht="12.75">
      <c r="A8" s="6"/>
      <c r="B8" s="3"/>
      <c r="C8" s="3"/>
      <c r="D8" s="28"/>
      <c r="E8" s="29"/>
      <c r="F8" s="9"/>
      <c r="G8" s="113"/>
      <c r="H8" s="113"/>
      <c r="I8" s="82" t="s">
        <v>283</v>
      </c>
    </row>
    <row r="9" spans="1:9" ht="91.5" customHeight="1">
      <c r="A9" s="24" t="s">
        <v>1</v>
      </c>
      <c r="B9" s="87" t="s">
        <v>176</v>
      </c>
      <c r="C9" s="88" t="s">
        <v>177</v>
      </c>
      <c r="D9" s="95" t="s">
        <v>219</v>
      </c>
      <c r="E9" s="84" t="s">
        <v>8</v>
      </c>
      <c r="F9" s="85" t="s">
        <v>152</v>
      </c>
      <c r="G9" s="35" t="s">
        <v>355</v>
      </c>
      <c r="H9" s="35" t="s">
        <v>349</v>
      </c>
      <c r="I9" s="35" t="s">
        <v>348</v>
      </c>
    </row>
    <row r="10" spans="1:9" ht="15.75" outlineLevel="1">
      <c r="A10" s="60" t="s">
        <v>26</v>
      </c>
      <c r="B10" s="61" t="s">
        <v>27</v>
      </c>
      <c r="C10" s="61"/>
      <c r="D10" s="61"/>
      <c r="E10" s="62" t="s">
        <v>0</v>
      </c>
      <c r="F10" s="63"/>
      <c r="G10" s="99">
        <f>SUM(G11)</f>
        <v>533.5</v>
      </c>
      <c r="H10" s="99">
        <f>SUM(H11)</f>
        <v>352.07802</v>
      </c>
      <c r="I10" s="65">
        <f aca="true" t="shared" si="0" ref="I10:I73">SUM(H10/G10)*100</f>
        <v>65.99400562324274</v>
      </c>
    </row>
    <row r="11" spans="1:9" ht="15.75" outlineLevel="1">
      <c r="A11" s="60" t="s">
        <v>98</v>
      </c>
      <c r="B11" s="61" t="s">
        <v>27</v>
      </c>
      <c r="C11" s="61" t="s">
        <v>41</v>
      </c>
      <c r="D11" s="61"/>
      <c r="E11" s="62"/>
      <c r="F11" s="63"/>
      <c r="G11" s="99">
        <f>SUM(G12)</f>
        <v>533.5</v>
      </c>
      <c r="H11" s="99">
        <f>SUM(H12)</f>
        <v>352.07802</v>
      </c>
      <c r="I11" s="65">
        <f t="shared" si="0"/>
        <v>65.99400562324274</v>
      </c>
    </row>
    <row r="12" spans="1:9" ht="38.25" customHeight="1" outlineLevel="2">
      <c r="A12" s="60" t="s">
        <v>25</v>
      </c>
      <c r="B12" s="61" t="s">
        <v>27</v>
      </c>
      <c r="C12" s="61" t="s">
        <v>28</v>
      </c>
      <c r="D12" s="61"/>
      <c r="E12" s="62"/>
      <c r="F12" s="63"/>
      <c r="G12" s="99">
        <f>SUM(G13+G16)</f>
        <v>533.5</v>
      </c>
      <c r="H12" s="99">
        <f>SUM(H13+H16)</f>
        <v>352.07802</v>
      </c>
      <c r="I12" s="65">
        <f t="shared" si="0"/>
        <v>65.99400562324274</v>
      </c>
    </row>
    <row r="13" spans="1:9" ht="23.25" customHeight="1" outlineLevel="2">
      <c r="A13" s="60" t="s">
        <v>101</v>
      </c>
      <c r="B13" s="61" t="s">
        <v>27</v>
      </c>
      <c r="C13" s="61" t="s">
        <v>28</v>
      </c>
      <c r="D13" s="61" t="s">
        <v>11</v>
      </c>
      <c r="E13" s="62" t="s">
        <v>9</v>
      </c>
      <c r="F13" s="63"/>
      <c r="G13" s="99">
        <f>SUM(G14:G15)</f>
        <v>533.5</v>
      </c>
      <c r="H13" s="99">
        <f>SUM(H14:H15)</f>
        <v>352.07802</v>
      </c>
      <c r="I13" s="65">
        <f t="shared" si="0"/>
        <v>65.99400562324274</v>
      </c>
    </row>
    <row r="14" spans="1:9" ht="51" customHeight="1" outlineLevel="2">
      <c r="A14" s="60" t="s">
        <v>99</v>
      </c>
      <c r="B14" s="61" t="s">
        <v>27</v>
      </c>
      <c r="C14" s="61" t="s">
        <v>28</v>
      </c>
      <c r="D14" s="61" t="s">
        <v>11</v>
      </c>
      <c r="E14" s="62" t="s">
        <v>9</v>
      </c>
      <c r="F14" s="63">
        <v>100</v>
      </c>
      <c r="G14" s="99">
        <f>373.4+16.6+83.5-1.2612</f>
        <v>472.2388</v>
      </c>
      <c r="H14" s="99">
        <v>316.34232</v>
      </c>
      <c r="I14" s="65">
        <f t="shared" si="0"/>
        <v>66.98778668758263</v>
      </c>
    </row>
    <row r="15" spans="1:9" s="4" customFormat="1" ht="24" outlineLevel="3">
      <c r="A15" s="60" t="s">
        <v>100</v>
      </c>
      <c r="B15" s="61" t="s">
        <v>27</v>
      </c>
      <c r="C15" s="61" t="s">
        <v>28</v>
      </c>
      <c r="D15" s="61" t="s">
        <v>11</v>
      </c>
      <c r="E15" s="62">
        <v>0</v>
      </c>
      <c r="F15" s="63">
        <v>200</v>
      </c>
      <c r="G15" s="99">
        <f>57.5+10.4-7.9+1.2612</f>
        <v>61.26120000000001</v>
      </c>
      <c r="H15" s="99">
        <v>35.7357</v>
      </c>
      <c r="I15" s="65">
        <f t="shared" si="0"/>
        <v>58.33333333333333</v>
      </c>
    </row>
    <row r="16" spans="1:9" s="4" customFormat="1" ht="25.5" customHeight="1" hidden="1" outlineLevel="3">
      <c r="A16" s="60" t="s">
        <v>153</v>
      </c>
      <c r="B16" s="61" t="s">
        <v>27</v>
      </c>
      <c r="C16" s="61" t="s">
        <v>28</v>
      </c>
      <c r="D16" s="61" t="s">
        <v>16</v>
      </c>
      <c r="E16" s="62">
        <v>0</v>
      </c>
      <c r="F16" s="63"/>
      <c r="G16" s="100">
        <f>SUM(G17)</f>
        <v>0</v>
      </c>
      <c r="H16" s="100">
        <f>SUM(H17)</f>
        <v>0</v>
      </c>
      <c r="I16" s="65" t="e">
        <f t="shared" si="0"/>
        <v>#DIV/0!</v>
      </c>
    </row>
    <row r="17" spans="1:9" s="4" customFormat="1" ht="15.75" hidden="1" outlineLevel="3">
      <c r="A17" s="60" t="s">
        <v>142</v>
      </c>
      <c r="B17" s="61" t="s">
        <v>27</v>
      </c>
      <c r="C17" s="61" t="s">
        <v>28</v>
      </c>
      <c r="D17" s="61" t="s">
        <v>16</v>
      </c>
      <c r="E17" s="62">
        <v>0</v>
      </c>
      <c r="F17" s="63">
        <v>800</v>
      </c>
      <c r="G17" s="99">
        <f>0.05+0.05-0.1</f>
        <v>0</v>
      </c>
      <c r="H17" s="99">
        <f>0.05+0.05-0.1</f>
        <v>0</v>
      </c>
      <c r="I17" s="65" t="e">
        <f t="shared" si="0"/>
        <v>#DIV/0!</v>
      </c>
    </row>
    <row r="18" spans="1:9" s="4" customFormat="1" ht="24" customHeight="1" outlineLevel="3">
      <c r="A18" s="60" t="s">
        <v>288</v>
      </c>
      <c r="B18" s="61" t="s">
        <v>30</v>
      </c>
      <c r="C18" s="61"/>
      <c r="D18" s="61"/>
      <c r="E18" s="62"/>
      <c r="F18" s="63"/>
      <c r="G18" s="99">
        <f>SUM(G19)</f>
        <v>1652.5</v>
      </c>
      <c r="H18" s="99">
        <f>SUM(H19)</f>
        <v>1150.59875</v>
      </c>
      <c r="I18" s="65">
        <f t="shared" si="0"/>
        <v>69.62776096822995</v>
      </c>
    </row>
    <row r="19" spans="1:9" s="4" customFormat="1" ht="15.75" outlineLevel="3">
      <c r="A19" s="60" t="s">
        <v>98</v>
      </c>
      <c r="B19" s="61" t="s">
        <v>30</v>
      </c>
      <c r="C19" s="61" t="s">
        <v>41</v>
      </c>
      <c r="D19" s="101"/>
      <c r="E19" s="102"/>
      <c r="F19" s="103"/>
      <c r="G19" s="99">
        <f>SUM(G20)</f>
        <v>1652.5</v>
      </c>
      <c r="H19" s="99">
        <f>SUM(H20)</f>
        <v>1150.59875</v>
      </c>
      <c r="I19" s="65">
        <f t="shared" si="0"/>
        <v>69.62776096822995</v>
      </c>
    </row>
    <row r="20" spans="1:9" s="4" customFormat="1" ht="29.25" customHeight="1" outlineLevel="3">
      <c r="A20" s="60" t="s">
        <v>32</v>
      </c>
      <c r="B20" s="61" t="s">
        <v>30</v>
      </c>
      <c r="C20" s="61" t="s">
        <v>31</v>
      </c>
      <c r="D20" s="61"/>
      <c r="E20" s="62"/>
      <c r="F20" s="63"/>
      <c r="G20" s="99">
        <f>SUM(G21+G24)</f>
        <v>1652.5</v>
      </c>
      <c r="H20" s="99">
        <f>SUM(H21+H24)</f>
        <v>1150.59875</v>
      </c>
      <c r="I20" s="65">
        <f t="shared" si="0"/>
        <v>69.62776096822995</v>
      </c>
    </row>
    <row r="21" spans="1:9" s="4" customFormat="1" ht="29.25" customHeight="1" outlineLevel="3">
      <c r="A21" s="60" t="s">
        <v>101</v>
      </c>
      <c r="B21" s="61" t="s">
        <v>30</v>
      </c>
      <c r="C21" s="61" t="s">
        <v>31</v>
      </c>
      <c r="D21" s="61" t="s">
        <v>11</v>
      </c>
      <c r="E21" s="62" t="s">
        <v>9</v>
      </c>
      <c r="F21" s="63"/>
      <c r="G21" s="99">
        <f>SUM(G22:G23)</f>
        <v>1647</v>
      </c>
      <c r="H21" s="99">
        <f>SUM(H22:H23)</f>
        <v>1145.59875</v>
      </c>
      <c r="I21" s="65">
        <f t="shared" si="0"/>
        <v>69.55669398907105</v>
      </c>
    </row>
    <row r="22" spans="1:9" s="4" customFormat="1" ht="45" customHeight="1" outlineLevel="3">
      <c r="A22" s="60" t="s">
        <v>99</v>
      </c>
      <c r="B22" s="61" t="s">
        <v>30</v>
      </c>
      <c r="C22" s="61" t="s">
        <v>31</v>
      </c>
      <c r="D22" s="61" t="s">
        <v>11</v>
      </c>
      <c r="E22" s="62" t="s">
        <v>9</v>
      </c>
      <c r="F22" s="63">
        <v>100</v>
      </c>
      <c r="G22" s="99">
        <f>1460.8-41-100+25.3-40+321.9</f>
        <v>1627</v>
      </c>
      <c r="H22" s="99">
        <v>1145.59875</v>
      </c>
      <c r="I22" s="65">
        <f t="shared" si="0"/>
        <v>70.41172403196066</v>
      </c>
    </row>
    <row r="23" spans="1:9" s="4" customFormat="1" ht="24" outlineLevel="3">
      <c r="A23" s="60" t="s">
        <v>100</v>
      </c>
      <c r="B23" s="61" t="s">
        <v>30</v>
      </c>
      <c r="C23" s="61" t="s">
        <v>31</v>
      </c>
      <c r="D23" s="61" t="s">
        <v>11</v>
      </c>
      <c r="E23" s="62">
        <v>0</v>
      </c>
      <c r="F23" s="63">
        <v>200</v>
      </c>
      <c r="G23" s="99">
        <f>24.7+24.7-29.4</f>
        <v>20</v>
      </c>
      <c r="H23" s="99">
        <v>0</v>
      </c>
      <c r="I23" s="65">
        <f t="shared" si="0"/>
        <v>0</v>
      </c>
    </row>
    <row r="24" spans="1:9" s="4" customFormat="1" ht="24.75" customHeight="1" outlineLevel="3">
      <c r="A24" s="60" t="s">
        <v>153</v>
      </c>
      <c r="B24" s="61" t="s">
        <v>30</v>
      </c>
      <c r="C24" s="61" t="s">
        <v>31</v>
      </c>
      <c r="D24" s="61" t="s">
        <v>16</v>
      </c>
      <c r="E24" s="62">
        <v>0</v>
      </c>
      <c r="F24" s="63"/>
      <c r="G24" s="100">
        <f>SUM(G25)</f>
        <v>5.5</v>
      </c>
      <c r="H24" s="100">
        <f>SUM(H25)</f>
        <v>5</v>
      </c>
      <c r="I24" s="65">
        <f t="shared" si="0"/>
        <v>90.9090909090909</v>
      </c>
    </row>
    <row r="25" spans="1:9" s="4" customFormat="1" ht="15.75" outlineLevel="3">
      <c r="A25" s="60" t="s">
        <v>142</v>
      </c>
      <c r="B25" s="61" t="s">
        <v>30</v>
      </c>
      <c r="C25" s="61" t="s">
        <v>31</v>
      </c>
      <c r="D25" s="61" t="s">
        <v>16</v>
      </c>
      <c r="E25" s="62">
        <v>0</v>
      </c>
      <c r="F25" s="63">
        <v>800</v>
      </c>
      <c r="G25" s="99">
        <f>5.5</f>
        <v>5.5</v>
      </c>
      <c r="H25" s="99">
        <v>5</v>
      </c>
      <c r="I25" s="65">
        <f t="shared" si="0"/>
        <v>90.9090909090909</v>
      </c>
    </row>
    <row r="26" spans="1:9" s="4" customFormat="1" ht="17.25" customHeight="1" outlineLevel="3">
      <c r="A26" s="60" t="s">
        <v>239</v>
      </c>
      <c r="B26" s="61" t="s">
        <v>39</v>
      </c>
      <c r="C26" s="61"/>
      <c r="D26" s="61"/>
      <c r="E26" s="62"/>
      <c r="F26" s="63"/>
      <c r="G26" s="99">
        <f>SUM(G27+G98+G103+G110+G134+G154+G158+G250+G279+G313+G325+G330+G334+G274)</f>
        <v>454475.46252</v>
      </c>
      <c r="H26" s="99">
        <f>SUM(H27+H98+H103+H110+H134+H154+H158+H250+H279+H313+H325+H330+H334+H274)</f>
        <v>293944.33011</v>
      </c>
      <c r="I26" s="65">
        <f t="shared" si="0"/>
        <v>64.67771185712022</v>
      </c>
    </row>
    <row r="27" spans="1:9" s="4" customFormat="1" ht="15.75" outlineLevel="3">
      <c r="A27" s="60" t="s">
        <v>98</v>
      </c>
      <c r="B27" s="61" t="s">
        <v>39</v>
      </c>
      <c r="C27" s="61" t="s">
        <v>41</v>
      </c>
      <c r="D27" s="61"/>
      <c r="E27" s="62"/>
      <c r="F27" s="63"/>
      <c r="G27" s="99">
        <f>SUM(G28+G31+G55+G59+G62+G51)</f>
        <v>79058.7749</v>
      </c>
      <c r="H27" s="99">
        <f>SUM(H28+H31+H55+H59+H62+H51)</f>
        <v>59255.86679999999</v>
      </c>
      <c r="I27" s="65">
        <f t="shared" si="0"/>
        <v>74.95166333522324</v>
      </c>
    </row>
    <row r="28" spans="1:9" s="4" customFormat="1" ht="24" outlineLevel="3">
      <c r="A28" s="60" t="s">
        <v>33</v>
      </c>
      <c r="B28" s="61" t="s">
        <v>39</v>
      </c>
      <c r="C28" s="61" t="s">
        <v>42</v>
      </c>
      <c r="D28" s="61"/>
      <c r="E28" s="62"/>
      <c r="F28" s="63"/>
      <c r="G28" s="99">
        <f>SUM(G30)</f>
        <v>2086.4428</v>
      </c>
      <c r="H28" s="99">
        <f>SUM(H30)</f>
        <v>1204.83291</v>
      </c>
      <c r="I28" s="65">
        <f t="shared" si="0"/>
        <v>57.74579154530382</v>
      </c>
    </row>
    <row r="29" spans="1:9" s="4" customFormat="1" ht="27.75" customHeight="1" outlineLevel="3">
      <c r="A29" s="60" t="s">
        <v>101</v>
      </c>
      <c r="B29" s="61" t="s">
        <v>39</v>
      </c>
      <c r="C29" s="61" t="s">
        <v>42</v>
      </c>
      <c r="D29" s="61" t="s">
        <v>11</v>
      </c>
      <c r="E29" s="62" t="s">
        <v>9</v>
      </c>
      <c r="F29" s="63"/>
      <c r="G29" s="99">
        <f>SUM(G30)</f>
        <v>2086.4428</v>
      </c>
      <c r="H29" s="99">
        <f>SUM(H30)</f>
        <v>1204.83291</v>
      </c>
      <c r="I29" s="65">
        <f t="shared" si="0"/>
        <v>57.74579154530382</v>
      </c>
    </row>
    <row r="30" spans="1:9" ht="48.75" customHeight="1" outlineLevel="1">
      <c r="A30" s="60" t="s">
        <v>99</v>
      </c>
      <c r="B30" s="61" t="s">
        <v>39</v>
      </c>
      <c r="C30" s="61" t="s">
        <v>42</v>
      </c>
      <c r="D30" s="61" t="s">
        <v>11</v>
      </c>
      <c r="E30" s="62">
        <v>0</v>
      </c>
      <c r="F30" s="63">
        <v>100</v>
      </c>
      <c r="G30" s="99">
        <f>1367.1+100+242.9+370+6.4428</f>
        <v>2086.4428</v>
      </c>
      <c r="H30" s="99">
        <v>1204.83291</v>
      </c>
      <c r="I30" s="65">
        <f t="shared" si="0"/>
        <v>57.74579154530382</v>
      </c>
    </row>
    <row r="31" spans="1:9" ht="36.75" customHeight="1" outlineLevel="2">
      <c r="A31" s="59" t="s">
        <v>34</v>
      </c>
      <c r="B31" s="61" t="s">
        <v>39</v>
      </c>
      <c r="C31" s="61" t="s">
        <v>40</v>
      </c>
      <c r="D31" s="61"/>
      <c r="E31" s="62"/>
      <c r="F31" s="63"/>
      <c r="G31" s="99">
        <f>SUM(G32+G49)</f>
        <v>33720.5072</v>
      </c>
      <c r="H31" s="99">
        <f>SUM(H32+H49)</f>
        <v>23263.079429999998</v>
      </c>
      <c r="I31" s="65">
        <f t="shared" si="0"/>
        <v>68.98792859794231</v>
      </c>
    </row>
    <row r="32" spans="1:9" s="4" customFormat="1" ht="27" customHeight="1" outlineLevel="3">
      <c r="A32" s="60" t="s">
        <v>101</v>
      </c>
      <c r="B32" s="61" t="s">
        <v>39</v>
      </c>
      <c r="C32" s="61" t="s">
        <v>40</v>
      </c>
      <c r="D32" s="61" t="s">
        <v>11</v>
      </c>
      <c r="E32" s="62">
        <v>0</v>
      </c>
      <c r="F32" s="63"/>
      <c r="G32" s="99">
        <f>SUM(G33+G36)</f>
        <v>33670.5072</v>
      </c>
      <c r="H32" s="99">
        <f>SUM(H33+H36)</f>
        <v>23263.079429999998</v>
      </c>
      <c r="I32" s="65">
        <f t="shared" si="0"/>
        <v>69.09037423113126</v>
      </c>
    </row>
    <row r="33" spans="1:9" ht="15.75" outlineLevel="1">
      <c r="A33" s="59" t="s">
        <v>3</v>
      </c>
      <c r="B33" s="61" t="s">
        <v>39</v>
      </c>
      <c r="C33" s="61" t="s">
        <v>40</v>
      </c>
      <c r="D33" s="61" t="s">
        <v>11</v>
      </c>
      <c r="E33" s="62">
        <v>0</v>
      </c>
      <c r="F33" s="63"/>
      <c r="G33" s="99">
        <f>SUM(G34:G35)</f>
        <v>31882.407199999998</v>
      </c>
      <c r="H33" s="99">
        <f>SUM(H34:H35)</f>
        <v>22069.44501</v>
      </c>
      <c r="I33" s="65">
        <f t="shared" si="0"/>
        <v>69.22138868485439</v>
      </c>
    </row>
    <row r="34" spans="1:9" ht="49.5" customHeight="1" outlineLevel="2">
      <c r="A34" s="59" t="s">
        <v>99</v>
      </c>
      <c r="B34" s="61" t="s">
        <v>39</v>
      </c>
      <c r="C34" s="61" t="s">
        <v>40</v>
      </c>
      <c r="D34" s="61" t="s">
        <v>11</v>
      </c>
      <c r="E34" s="62">
        <v>0</v>
      </c>
      <c r="F34" s="63">
        <v>100</v>
      </c>
      <c r="G34" s="99">
        <f>24910+418-30-242.9-14.8-3042.9+1000+40+559.6+2242.9+3996.95+245.5572</f>
        <v>30082.407199999998</v>
      </c>
      <c r="H34" s="99">
        <v>21212.79767</v>
      </c>
      <c r="I34" s="65">
        <f t="shared" si="0"/>
        <v>70.51562572426053</v>
      </c>
    </row>
    <row r="35" spans="1:9" ht="24">
      <c r="A35" s="59" t="s">
        <v>100</v>
      </c>
      <c r="B35" s="61" t="s">
        <v>39</v>
      </c>
      <c r="C35" s="61" t="s">
        <v>40</v>
      </c>
      <c r="D35" s="61" t="s">
        <v>11</v>
      </c>
      <c r="E35" s="62">
        <v>0</v>
      </c>
      <c r="F35" s="63">
        <v>200</v>
      </c>
      <c r="G35" s="99">
        <f>1540.9-10+25+1166.3-200+7.9+29.4+0.1-559.6-200</f>
        <v>1800</v>
      </c>
      <c r="H35" s="99">
        <v>856.64734</v>
      </c>
      <c r="I35" s="65">
        <f t="shared" si="0"/>
        <v>47.59151888888889</v>
      </c>
    </row>
    <row r="36" spans="1:9" ht="23.25" customHeight="1" outlineLevel="2">
      <c r="A36" s="60" t="s">
        <v>101</v>
      </c>
      <c r="B36" s="61" t="s">
        <v>39</v>
      </c>
      <c r="C36" s="61" t="s">
        <v>40</v>
      </c>
      <c r="D36" s="61" t="s">
        <v>11</v>
      </c>
      <c r="E36" s="62" t="s">
        <v>9</v>
      </c>
      <c r="F36" s="63"/>
      <c r="G36" s="104">
        <f>SUM(G37+G40+G43+G46)</f>
        <v>1788.1</v>
      </c>
      <c r="H36" s="104">
        <f>SUM(H37+H40+H43+H46)</f>
        <v>1193.63442</v>
      </c>
      <c r="I36" s="65">
        <f t="shared" si="0"/>
        <v>66.75434371679437</v>
      </c>
    </row>
    <row r="37" spans="1:9" ht="31.5" customHeight="1" outlineLevel="1">
      <c r="A37" s="60" t="s">
        <v>102</v>
      </c>
      <c r="B37" s="61" t="s">
        <v>39</v>
      </c>
      <c r="C37" s="61" t="s">
        <v>40</v>
      </c>
      <c r="D37" s="61" t="s">
        <v>11</v>
      </c>
      <c r="E37" s="62" t="s">
        <v>9</v>
      </c>
      <c r="F37" s="63"/>
      <c r="G37" s="99">
        <f>SUM(G38:G39)</f>
        <v>307.7</v>
      </c>
      <c r="H37" s="99">
        <f>SUM(H38:H39)</f>
        <v>222.42342</v>
      </c>
      <c r="I37" s="65">
        <f t="shared" si="0"/>
        <v>72.28580435489113</v>
      </c>
    </row>
    <row r="38" spans="1:9" ht="42" customHeight="1" outlineLevel="5">
      <c r="A38" s="60" t="s">
        <v>99</v>
      </c>
      <c r="B38" s="61" t="s">
        <v>39</v>
      </c>
      <c r="C38" s="61" t="s">
        <v>40</v>
      </c>
      <c r="D38" s="61" t="s">
        <v>11</v>
      </c>
      <c r="E38" s="62" t="s">
        <v>9</v>
      </c>
      <c r="F38" s="63">
        <v>100</v>
      </c>
      <c r="G38" s="104">
        <v>307.7</v>
      </c>
      <c r="H38" s="104">
        <v>222.42342</v>
      </c>
      <c r="I38" s="65">
        <f t="shared" si="0"/>
        <v>72.28580435489113</v>
      </c>
    </row>
    <row r="39" spans="1:9" ht="24" hidden="1" outlineLevel="5">
      <c r="A39" s="60" t="s">
        <v>100</v>
      </c>
      <c r="B39" s="61" t="s">
        <v>39</v>
      </c>
      <c r="C39" s="61" t="s">
        <v>40</v>
      </c>
      <c r="D39" s="61" t="s">
        <v>11</v>
      </c>
      <c r="E39" s="62" t="s">
        <v>9</v>
      </c>
      <c r="F39" s="63">
        <v>200</v>
      </c>
      <c r="G39" s="104">
        <f>81.8-81.8</f>
        <v>0</v>
      </c>
      <c r="H39" s="104">
        <f>81.8-81.8</f>
        <v>0</v>
      </c>
      <c r="I39" s="65" t="e">
        <f t="shared" si="0"/>
        <v>#DIV/0!</v>
      </c>
    </row>
    <row r="40" spans="1:9" ht="27" customHeight="1" outlineLevel="5">
      <c r="A40" s="60" t="s">
        <v>103</v>
      </c>
      <c r="B40" s="61" t="s">
        <v>39</v>
      </c>
      <c r="C40" s="61" t="s">
        <v>40</v>
      </c>
      <c r="D40" s="61" t="s">
        <v>11</v>
      </c>
      <c r="E40" s="62" t="s">
        <v>9</v>
      </c>
      <c r="F40" s="63"/>
      <c r="G40" s="99">
        <f>SUM(G41:G42)</f>
        <v>688.4</v>
      </c>
      <c r="H40" s="99">
        <f>SUM(H41:H42)</f>
        <v>570.69442</v>
      </c>
      <c r="I40" s="65">
        <f t="shared" si="0"/>
        <v>82.90157176060431</v>
      </c>
    </row>
    <row r="41" spans="1:9" ht="47.25" customHeight="1" outlineLevel="2">
      <c r="A41" s="60" t="s">
        <v>99</v>
      </c>
      <c r="B41" s="61" t="s">
        <v>39</v>
      </c>
      <c r="C41" s="61" t="s">
        <v>40</v>
      </c>
      <c r="D41" s="61" t="s">
        <v>11</v>
      </c>
      <c r="E41" s="62" t="s">
        <v>9</v>
      </c>
      <c r="F41" s="63">
        <v>100</v>
      </c>
      <c r="G41" s="99">
        <f>688.4-15+5</f>
        <v>678.4</v>
      </c>
      <c r="H41" s="99">
        <v>564.12915</v>
      </c>
      <c r="I41" s="65">
        <f t="shared" si="0"/>
        <v>83.15582989386793</v>
      </c>
    </row>
    <row r="42" spans="1:9" ht="24" outlineLevel="4">
      <c r="A42" s="60" t="s">
        <v>100</v>
      </c>
      <c r="B42" s="61" t="s">
        <v>39</v>
      </c>
      <c r="C42" s="61" t="s">
        <v>40</v>
      </c>
      <c r="D42" s="61" t="s">
        <v>11</v>
      </c>
      <c r="E42" s="62" t="s">
        <v>9</v>
      </c>
      <c r="F42" s="63">
        <v>200</v>
      </c>
      <c r="G42" s="99">
        <f>303-28-75-200+15-5</f>
        <v>10</v>
      </c>
      <c r="H42" s="99">
        <v>6.56527</v>
      </c>
      <c r="I42" s="65">
        <f t="shared" si="0"/>
        <v>65.6527</v>
      </c>
    </row>
    <row r="43" spans="1:9" s="16" customFormat="1" ht="33.75" customHeight="1" outlineLevel="5">
      <c r="A43" s="60" t="s">
        <v>224</v>
      </c>
      <c r="B43" s="61" t="s">
        <v>39</v>
      </c>
      <c r="C43" s="61" t="s">
        <v>40</v>
      </c>
      <c r="D43" s="61" t="s">
        <v>11</v>
      </c>
      <c r="E43" s="62" t="s">
        <v>9</v>
      </c>
      <c r="F43" s="63"/>
      <c r="G43" s="99">
        <f>SUM(G44:G45)</f>
        <v>328</v>
      </c>
      <c r="H43" s="99">
        <f>SUM(H44:H45)</f>
        <v>241.54225</v>
      </c>
      <c r="I43" s="65">
        <f t="shared" si="0"/>
        <v>73.64092987804878</v>
      </c>
    </row>
    <row r="44" spans="1:9" ht="45" customHeight="1" outlineLevel="5">
      <c r="A44" s="60" t="s">
        <v>99</v>
      </c>
      <c r="B44" s="61" t="s">
        <v>39</v>
      </c>
      <c r="C44" s="61" t="s">
        <v>40</v>
      </c>
      <c r="D44" s="61" t="s">
        <v>11</v>
      </c>
      <c r="E44" s="62" t="s">
        <v>9</v>
      </c>
      <c r="F44" s="63">
        <v>100</v>
      </c>
      <c r="G44" s="104">
        <v>328</v>
      </c>
      <c r="H44" s="104">
        <v>241.54225</v>
      </c>
      <c r="I44" s="65">
        <f t="shared" si="0"/>
        <v>73.64092987804878</v>
      </c>
    </row>
    <row r="45" spans="1:9" ht="24" hidden="1" outlineLevel="4">
      <c r="A45" s="60" t="s">
        <v>100</v>
      </c>
      <c r="B45" s="61" t="s">
        <v>39</v>
      </c>
      <c r="C45" s="61" t="s">
        <v>40</v>
      </c>
      <c r="D45" s="61" t="s">
        <v>11</v>
      </c>
      <c r="E45" s="62" t="s">
        <v>9</v>
      </c>
      <c r="F45" s="63">
        <v>200</v>
      </c>
      <c r="G45" s="104">
        <v>0</v>
      </c>
      <c r="H45" s="104">
        <v>0</v>
      </c>
      <c r="I45" s="65" t="e">
        <f t="shared" si="0"/>
        <v>#DIV/0!</v>
      </c>
    </row>
    <row r="46" spans="1:9" ht="39" customHeight="1" outlineLevel="5">
      <c r="A46" s="60" t="s">
        <v>232</v>
      </c>
      <c r="B46" s="61" t="s">
        <v>39</v>
      </c>
      <c r="C46" s="61" t="s">
        <v>40</v>
      </c>
      <c r="D46" s="61" t="s">
        <v>11</v>
      </c>
      <c r="E46" s="62" t="s">
        <v>9</v>
      </c>
      <c r="F46" s="63"/>
      <c r="G46" s="99">
        <f>SUM(G47:G48)</f>
        <v>464</v>
      </c>
      <c r="H46" s="99">
        <f>SUM(H47:H48)</f>
        <v>158.97433</v>
      </c>
      <c r="I46" s="65">
        <f t="shared" si="0"/>
        <v>34.26170905172414</v>
      </c>
    </row>
    <row r="47" spans="1:9" ht="48" outlineLevel="5">
      <c r="A47" s="60" t="s">
        <v>99</v>
      </c>
      <c r="B47" s="61" t="s">
        <v>39</v>
      </c>
      <c r="C47" s="61" t="s">
        <v>40</v>
      </c>
      <c r="D47" s="61" t="s">
        <v>11</v>
      </c>
      <c r="E47" s="62" t="s">
        <v>9</v>
      </c>
      <c r="F47" s="63">
        <v>100</v>
      </c>
      <c r="G47" s="99">
        <v>62</v>
      </c>
      <c r="H47" s="99">
        <v>0</v>
      </c>
      <c r="I47" s="65">
        <f t="shared" si="0"/>
        <v>0</v>
      </c>
    </row>
    <row r="48" spans="1:9" ht="24" outlineLevel="5">
      <c r="A48" s="60" t="s">
        <v>100</v>
      </c>
      <c r="B48" s="61" t="s">
        <v>39</v>
      </c>
      <c r="C48" s="61" t="s">
        <v>40</v>
      </c>
      <c r="D48" s="61" t="s">
        <v>11</v>
      </c>
      <c r="E48" s="62" t="s">
        <v>9</v>
      </c>
      <c r="F48" s="63">
        <v>200</v>
      </c>
      <c r="G48" s="99">
        <f>463.8-62+0.2</f>
        <v>402</v>
      </c>
      <c r="H48" s="99">
        <v>158.97433</v>
      </c>
      <c r="I48" s="65">
        <f t="shared" si="0"/>
        <v>39.54585323383085</v>
      </c>
    </row>
    <row r="49" spans="1:9" ht="36" outlineLevel="2">
      <c r="A49" s="60" t="s">
        <v>249</v>
      </c>
      <c r="B49" s="61" t="s">
        <v>39</v>
      </c>
      <c r="C49" s="61" t="s">
        <v>40</v>
      </c>
      <c r="D49" s="61" t="s">
        <v>2</v>
      </c>
      <c r="E49" s="62">
        <v>0</v>
      </c>
      <c r="F49" s="63"/>
      <c r="G49" s="99">
        <f>SUM(G50)</f>
        <v>50</v>
      </c>
      <c r="H49" s="99">
        <f>SUM(H50)</f>
        <v>0</v>
      </c>
      <c r="I49" s="65">
        <f t="shared" si="0"/>
        <v>0</v>
      </c>
    </row>
    <row r="50" spans="1:9" ht="24" outlineLevel="2">
      <c r="A50" s="60" t="s">
        <v>100</v>
      </c>
      <c r="B50" s="61" t="s">
        <v>39</v>
      </c>
      <c r="C50" s="61" t="s">
        <v>40</v>
      </c>
      <c r="D50" s="61" t="s">
        <v>2</v>
      </c>
      <c r="E50" s="62">
        <v>0</v>
      </c>
      <c r="F50" s="63">
        <v>200</v>
      </c>
      <c r="G50" s="99">
        <f>50</f>
        <v>50</v>
      </c>
      <c r="H50" s="99">
        <v>0</v>
      </c>
      <c r="I50" s="65">
        <f t="shared" si="0"/>
        <v>0</v>
      </c>
    </row>
    <row r="51" spans="1:9" ht="15.75" outlineLevel="2">
      <c r="A51" s="60" t="s">
        <v>35</v>
      </c>
      <c r="B51" s="61" t="s">
        <v>39</v>
      </c>
      <c r="C51" s="61" t="s">
        <v>43</v>
      </c>
      <c r="D51" s="61"/>
      <c r="E51" s="62"/>
      <c r="F51" s="63"/>
      <c r="G51" s="99">
        <f aca="true" t="shared" si="1" ref="G51:H53">SUM(G52)</f>
        <v>62.2</v>
      </c>
      <c r="H51" s="99">
        <f t="shared" si="1"/>
        <v>62.2</v>
      </c>
      <c r="I51" s="65">
        <f t="shared" si="0"/>
        <v>100</v>
      </c>
    </row>
    <row r="52" spans="1:9" ht="24" outlineLevel="2">
      <c r="A52" s="60" t="s">
        <v>197</v>
      </c>
      <c r="B52" s="61" t="s">
        <v>39</v>
      </c>
      <c r="C52" s="61" t="s">
        <v>43</v>
      </c>
      <c r="D52" s="61" t="s">
        <v>16</v>
      </c>
      <c r="E52" s="62">
        <v>0</v>
      </c>
      <c r="F52" s="63"/>
      <c r="G52" s="99">
        <f t="shared" si="1"/>
        <v>62.2</v>
      </c>
      <c r="H52" s="99">
        <f t="shared" si="1"/>
        <v>62.2</v>
      </c>
      <c r="I52" s="65">
        <f t="shared" si="0"/>
        <v>100</v>
      </c>
    </row>
    <row r="53" spans="1:9" ht="24" outlineLevel="2">
      <c r="A53" s="60" t="s">
        <v>153</v>
      </c>
      <c r="B53" s="61" t="s">
        <v>39</v>
      </c>
      <c r="C53" s="61" t="s">
        <v>43</v>
      </c>
      <c r="D53" s="61" t="s">
        <v>16</v>
      </c>
      <c r="E53" s="62">
        <v>0</v>
      </c>
      <c r="F53" s="63"/>
      <c r="G53" s="99">
        <f t="shared" si="1"/>
        <v>62.2</v>
      </c>
      <c r="H53" s="99">
        <f t="shared" si="1"/>
        <v>62.2</v>
      </c>
      <c r="I53" s="65">
        <f t="shared" si="0"/>
        <v>100</v>
      </c>
    </row>
    <row r="54" spans="1:9" ht="23.25" customHeight="1" outlineLevel="2">
      <c r="A54" s="60" t="s">
        <v>100</v>
      </c>
      <c r="B54" s="61" t="s">
        <v>39</v>
      </c>
      <c r="C54" s="61" t="s">
        <v>43</v>
      </c>
      <c r="D54" s="61" t="s">
        <v>16</v>
      </c>
      <c r="E54" s="62">
        <v>0</v>
      </c>
      <c r="F54" s="63">
        <v>200</v>
      </c>
      <c r="G54" s="99">
        <f>36.4+25.8</f>
        <v>62.2</v>
      </c>
      <c r="H54" s="99">
        <v>62.2</v>
      </c>
      <c r="I54" s="65">
        <f t="shared" si="0"/>
        <v>100</v>
      </c>
    </row>
    <row r="55" spans="1:9" ht="15.75" hidden="1" outlineLevel="2">
      <c r="A55" s="60" t="s">
        <v>36</v>
      </c>
      <c r="B55" s="61" t="s">
        <v>39</v>
      </c>
      <c r="C55" s="61" t="s">
        <v>44</v>
      </c>
      <c r="D55" s="61"/>
      <c r="E55" s="62"/>
      <c r="F55" s="63"/>
      <c r="G55" s="99">
        <f>SUM(G56)</f>
        <v>0</v>
      </c>
      <c r="H55" s="99">
        <f>SUM(H56)</f>
        <v>0</v>
      </c>
      <c r="I55" s="65" t="e">
        <f t="shared" si="0"/>
        <v>#DIV/0!</v>
      </c>
    </row>
    <row r="56" spans="1:9" ht="15.75" hidden="1" outlineLevel="5">
      <c r="A56" s="60" t="s">
        <v>37</v>
      </c>
      <c r="B56" s="61" t="s">
        <v>39</v>
      </c>
      <c r="C56" s="61" t="s">
        <v>44</v>
      </c>
      <c r="D56" s="61" t="s">
        <v>16</v>
      </c>
      <c r="E56" s="62" t="s">
        <v>9</v>
      </c>
      <c r="F56" s="63"/>
      <c r="G56" s="99">
        <f>SUM(G57)</f>
        <v>0</v>
      </c>
      <c r="H56" s="99">
        <f>SUM(H57)</f>
        <v>0</v>
      </c>
      <c r="I56" s="65" t="e">
        <f t="shared" si="0"/>
        <v>#DIV/0!</v>
      </c>
    </row>
    <row r="57" spans="1:9" ht="24" hidden="1" outlineLevel="2">
      <c r="A57" s="60" t="s">
        <v>153</v>
      </c>
      <c r="B57" s="61" t="s">
        <v>39</v>
      </c>
      <c r="C57" s="61" t="s">
        <v>44</v>
      </c>
      <c r="D57" s="61" t="s">
        <v>16</v>
      </c>
      <c r="E57" s="62" t="s">
        <v>9</v>
      </c>
      <c r="F57" s="63"/>
      <c r="G57" s="99">
        <f aca="true" t="shared" si="2" ref="G57:H60">SUM(G58)</f>
        <v>0</v>
      </c>
      <c r="H57" s="99">
        <f t="shared" si="2"/>
        <v>0</v>
      </c>
      <c r="I57" s="65" t="e">
        <f t="shared" si="0"/>
        <v>#DIV/0!</v>
      </c>
    </row>
    <row r="58" spans="1:9" ht="24" hidden="1" outlineLevel="5">
      <c r="A58" s="60" t="s">
        <v>100</v>
      </c>
      <c r="B58" s="61" t="s">
        <v>39</v>
      </c>
      <c r="C58" s="61" t="s">
        <v>44</v>
      </c>
      <c r="D58" s="61" t="s">
        <v>16</v>
      </c>
      <c r="E58" s="62">
        <v>0</v>
      </c>
      <c r="F58" s="63">
        <v>200</v>
      </c>
      <c r="G58" s="99">
        <v>0</v>
      </c>
      <c r="H58" s="99">
        <v>0</v>
      </c>
      <c r="I58" s="65" t="e">
        <f t="shared" si="0"/>
        <v>#DIV/0!</v>
      </c>
    </row>
    <row r="59" spans="1:9" ht="15.75" outlineLevel="1">
      <c r="A59" s="60" t="s">
        <v>38</v>
      </c>
      <c r="B59" s="61" t="s">
        <v>39</v>
      </c>
      <c r="C59" s="61" t="s">
        <v>45</v>
      </c>
      <c r="D59" s="61"/>
      <c r="E59" s="62"/>
      <c r="F59" s="63"/>
      <c r="G59" s="99">
        <f t="shared" si="2"/>
        <v>320</v>
      </c>
      <c r="H59" s="99">
        <f t="shared" si="2"/>
        <v>0</v>
      </c>
      <c r="I59" s="65">
        <f t="shared" si="0"/>
        <v>0</v>
      </c>
    </row>
    <row r="60" spans="1:9" ht="29.25" customHeight="1" outlineLevel="2">
      <c r="A60" s="60" t="s">
        <v>153</v>
      </c>
      <c r="B60" s="61" t="s">
        <v>39</v>
      </c>
      <c r="C60" s="61" t="s">
        <v>45</v>
      </c>
      <c r="D60" s="61" t="s">
        <v>16</v>
      </c>
      <c r="E60" s="62" t="s">
        <v>9</v>
      </c>
      <c r="F60" s="63"/>
      <c r="G60" s="99">
        <f t="shared" si="2"/>
        <v>320</v>
      </c>
      <c r="H60" s="99">
        <f t="shared" si="2"/>
        <v>0</v>
      </c>
      <c r="I60" s="65">
        <f t="shared" si="0"/>
        <v>0</v>
      </c>
    </row>
    <row r="61" spans="1:9" ht="15.75" outlineLevel="2">
      <c r="A61" s="60" t="s">
        <v>142</v>
      </c>
      <c r="B61" s="61" t="s">
        <v>39</v>
      </c>
      <c r="C61" s="61" t="s">
        <v>45</v>
      </c>
      <c r="D61" s="61" t="s">
        <v>16</v>
      </c>
      <c r="E61" s="62" t="s">
        <v>9</v>
      </c>
      <c r="F61" s="63">
        <v>800</v>
      </c>
      <c r="G61" s="99">
        <v>320</v>
      </c>
      <c r="H61" s="99">
        <v>0</v>
      </c>
      <c r="I61" s="65">
        <f t="shared" si="0"/>
        <v>0</v>
      </c>
    </row>
    <row r="62" spans="1:9" ht="15.75" outlineLevel="2">
      <c r="A62" s="60" t="s">
        <v>46</v>
      </c>
      <c r="B62" s="61" t="s">
        <v>39</v>
      </c>
      <c r="C62" s="61" t="s">
        <v>29</v>
      </c>
      <c r="D62" s="61"/>
      <c r="E62" s="62"/>
      <c r="F62" s="63"/>
      <c r="G62" s="99">
        <f>SUM(G63+G71+G80+G83+G87+G90+G97+G78+G68+G76+G94)</f>
        <v>42869.6249</v>
      </c>
      <c r="H62" s="99">
        <f>SUM(H63+H71+H80+H83+H87+H90+H97+H78+H68+H76+H94)</f>
        <v>34725.75445999999</v>
      </c>
      <c r="I62" s="65">
        <f t="shared" si="0"/>
        <v>81.00316842287086</v>
      </c>
    </row>
    <row r="63" spans="1:9" ht="36" outlineLevel="2">
      <c r="A63" s="60" t="s">
        <v>326</v>
      </c>
      <c r="B63" s="61" t="s">
        <v>39</v>
      </c>
      <c r="C63" s="61" t="s">
        <v>29</v>
      </c>
      <c r="D63" s="61" t="s">
        <v>6</v>
      </c>
      <c r="E63" s="62">
        <v>0</v>
      </c>
      <c r="F63" s="63"/>
      <c r="G63" s="99">
        <f>SUM(G66+G64)</f>
        <v>150</v>
      </c>
      <c r="H63" s="99">
        <f>SUM(H66+H64)</f>
        <v>122.7558</v>
      </c>
      <c r="I63" s="65">
        <f t="shared" si="0"/>
        <v>81.8372</v>
      </c>
    </row>
    <row r="64" spans="1:9" ht="24" hidden="1" outlineLevel="2">
      <c r="A64" s="60" t="s">
        <v>201</v>
      </c>
      <c r="B64" s="61" t="s">
        <v>39</v>
      </c>
      <c r="C64" s="61" t="s">
        <v>29</v>
      </c>
      <c r="D64" s="61" t="s">
        <v>6</v>
      </c>
      <c r="E64" s="62">
        <v>3</v>
      </c>
      <c r="F64" s="63"/>
      <c r="G64" s="99">
        <f>SUM(G65:G65)</f>
        <v>0</v>
      </c>
      <c r="H64" s="99">
        <f>SUM(H65:H65)</f>
        <v>0</v>
      </c>
      <c r="I64" s="65" t="e">
        <f t="shared" si="0"/>
        <v>#DIV/0!</v>
      </c>
    </row>
    <row r="65" spans="1:9" ht="24" hidden="1" outlineLevel="2">
      <c r="A65" s="60" t="s">
        <v>154</v>
      </c>
      <c r="B65" s="61" t="s">
        <v>39</v>
      </c>
      <c r="C65" s="61" t="s">
        <v>29</v>
      </c>
      <c r="D65" s="61" t="s">
        <v>6</v>
      </c>
      <c r="E65" s="62">
        <v>3</v>
      </c>
      <c r="F65" s="63">
        <v>600</v>
      </c>
      <c r="G65" s="99">
        <v>0</v>
      </c>
      <c r="H65" s="99">
        <v>0</v>
      </c>
      <c r="I65" s="65" t="e">
        <f t="shared" si="0"/>
        <v>#DIV/0!</v>
      </c>
    </row>
    <row r="66" spans="1:9" ht="24" outlineLevel="2">
      <c r="A66" s="60" t="s">
        <v>184</v>
      </c>
      <c r="B66" s="61" t="s">
        <v>39</v>
      </c>
      <c r="C66" s="61" t="s">
        <v>29</v>
      </c>
      <c r="D66" s="61" t="s">
        <v>6</v>
      </c>
      <c r="E66" s="62">
        <v>4</v>
      </c>
      <c r="F66" s="63"/>
      <c r="G66" s="99">
        <f>SUM(G67)</f>
        <v>150</v>
      </c>
      <c r="H66" s="99">
        <f>SUM(H67)</f>
        <v>122.7558</v>
      </c>
      <c r="I66" s="65">
        <f t="shared" si="0"/>
        <v>81.8372</v>
      </c>
    </row>
    <row r="67" spans="1:9" ht="24" customHeight="1" outlineLevel="2">
      <c r="A67" s="60" t="s">
        <v>154</v>
      </c>
      <c r="B67" s="61" t="s">
        <v>39</v>
      </c>
      <c r="C67" s="61" t="s">
        <v>29</v>
      </c>
      <c r="D67" s="61" t="s">
        <v>6</v>
      </c>
      <c r="E67" s="62">
        <v>4</v>
      </c>
      <c r="F67" s="63">
        <v>600</v>
      </c>
      <c r="G67" s="99">
        <v>150</v>
      </c>
      <c r="H67" s="99">
        <v>122.7558</v>
      </c>
      <c r="I67" s="65">
        <f t="shared" si="0"/>
        <v>81.8372</v>
      </c>
    </row>
    <row r="68" spans="1:9" ht="15.75" outlineLevel="2">
      <c r="A68" s="60" t="s">
        <v>246</v>
      </c>
      <c r="B68" s="61" t="s">
        <v>39</v>
      </c>
      <c r="C68" s="61" t="s">
        <v>29</v>
      </c>
      <c r="D68" s="61" t="s">
        <v>10</v>
      </c>
      <c r="E68" s="62">
        <v>0</v>
      </c>
      <c r="F68" s="63"/>
      <c r="G68" s="99">
        <f>SUM(G69:G70)</f>
        <v>188</v>
      </c>
      <c r="H68" s="99">
        <f>SUM(H69:H70)</f>
        <v>168.293</v>
      </c>
      <c r="I68" s="65">
        <f t="shared" si="0"/>
        <v>89.51755319148937</v>
      </c>
    </row>
    <row r="69" spans="1:9" ht="24" outlineLevel="2">
      <c r="A69" s="60" t="s">
        <v>100</v>
      </c>
      <c r="B69" s="61" t="s">
        <v>39</v>
      </c>
      <c r="C69" s="61" t="s">
        <v>29</v>
      </c>
      <c r="D69" s="61" t="s">
        <v>10</v>
      </c>
      <c r="E69" s="62">
        <v>0</v>
      </c>
      <c r="F69" s="63">
        <v>200</v>
      </c>
      <c r="G69" s="99">
        <f>100+70</f>
        <v>170</v>
      </c>
      <c r="H69" s="99">
        <v>150.293</v>
      </c>
      <c r="I69" s="65">
        <f t="shared" si="0"/>
        <v>88.40764705882353</v>
      </c>
    </row>
    <row r="70" spans="1:9" ht="15.75" outlineLevel="2">
      <c r="A70" s="60" t="s">
        <v>155</v>
      </c>
      <c r="B70" s="61" t="s">
        <v>39</v>
      </c>
      <c r="C70" s="61" t="s">
        <v>29</v>
      </c>
      <c r="D70" s="61" t="s">
        <v>10</v>
      </c>
      <c r="E70" s="62">
        <v>0</v>
      </c>
      <c r="F70" s="63">
        <v>300</v>
      </c>
      <c r="G70" s="99">
        <v>18</v>
      </c>
      <c r="H70" s="99">
        <v>18</v>
      </c>
      <c r="I70" s="65">
        <f t="shared" si="0"/>
        <v>100</v>
      </c>
    </row>
    <row r="71" spans="1:9" ht="37.5" customHeight="1" outlineLevel="2">
      <c r="A71" s="60" t="s">
        <v>250</v>
      </c>
      <c r="B71" s="61" t="s">
        <v>39</v>
      </c>
      <c r="C71" s="61" t="s">
        <v>29</v>
      </c>
      <c r="D71" s="61" t="s">
        <v>149</v>
      </c>
      <c r="E71" s="62">
        <v>0</v>
      </c>
      <c r="F71" s="63"/>
      <c r="G71" s="99">
        <f>SUM(G72+G74)</f>
        <v>20</v>
      </c>
      <c r="H71" s="99">
        <f>SUM(H72+H74)</f>
        <v>0</v>
      </c>
      <c r="I71" s="65">
        <f t="shared" si="0"/>
        <v>0</v>
      </c>
    </row>
    <row r="72" spans="1:9" ht="20.25" customHeight="1" outlineLevel="2">
      <c r="A72" s="60" t="s">
        <v>259</v>
      </c>
      <c r="B72" s="61" t="s">
        <v>39</v>
      </c>
      <c r="C72" s="61" t="s">
        <v>29</v>
      </c>
      <c r="D72" s="61" t="s">
        <v>149</v>
      </c>
      <c r="E72" s="62">
        <v>1</v>
      </c>
      <c r="F72" s="63"/>
      <c r="G72" s="99">
        <f>SUM(G73)</f>
        <v>10</v>
      </c>
      <c r="H72" s="99">
        <f>SUM(H73)</f>
        <v>0</v>
      </c>
      <c r="I72" s="65">
        <f t="shared" si="0"/>
        <v>0</v>
      </c>
    </row>
    <row r="73" spans="1:9" ht="24" outlineLevel="2">
      <c r="A73" s="60" t="s">
        <v>100</v>
      </c>
      <c r="B73" s="61" t="s">
        <v>39</v>
      </c>
      <c r="C73" s="61" t="s">
        <v>29</v>
      </c>
      <c r="D73" s="61" t="s">
        <v>149</v>
      </c>
      <c r="E73" s="62">
        <v>1</v>
      </c>
      <c r="F73" s="63">
        <v>200</v>
      </c>
      <c r="G73" s="99">
        <f>50-15-25</f>
        <v>10</v>
      </c>
      <c r="H73" s="99">
        <v>0</v>
      </c>
      <c r="I73" s="65">
        <f t="shared" si="0"/>
        <v>0</v>
      </c>
    </row>
    <row r="74" spans="1:9" ht="24" outlineLevel="2">
      <c r="A74" s="60" t="s">
        <v>260</v>
      </c>
      <c r="B74" s="61" t="s">
        <v>39</v>
      </c>
      <c r="C74" s="61" t="s">
        <v>29</v>
      </c>
      <c r="D74" s="61" t="s">
        <v>149</v>
      </c>
      <c r="E74" s="62">
        <v>2</v>
      </c>
      <c r="F74" s="63"/>
      <c r="G74" s="99">
        <f>SUM(G75)</f>
        <v>10</v>
      </c>
      <c r="H74" s="99">
        <f>SUM(H75)</f>
        <v>0</v>
      </c>
      <c r="I74" s="65">
        <f aca="true" t="shared" si="3" ref="I74:I137">SUM(H74/G74)*100</f>
        <v>0</v>
      </c>
    </row>
    <row r="75" spans="1:9" ht="24" outlineLevel="2">
      <c r="A75" s="60" t="s">
        <v>100</v>
      </c>
      <c r="B75" s="61" t="s">
        <v>39</v>
      </c>
      <c r="C75" s="61" t="s">
        <v>29</v>
      </c>
      <c r="D75" s="61" t="s">
        <v>149</v>
      </c>
      <c r="E75" s="62">
        <v>2</v>
      </c>
      <c r="F75" s="63">
        <v>200</v>
      </c>
      <c r="G75" s="99">
        <f>15-5</f>
        <v>10</v>
      </c>
      <c r="H75" s="99">
        <v>0</v>
      </c>
      <c r="I75" s="65">
        <f t="shared" si="3"/>
        <v>0</v>
      </c>
    </row>
    <row r="76" spans="1:9" ht="24" hidden="1" outlineLevel="2">
      <c r="A76" s="105" t="s">
        <v>218</v>
      </c>
      <c r="B76" s="61" t="s">
        <v>39</v>
      </c>
      <c r="C76" s="61" t="s">
        <v>29</v>
      </c>
      <c r="D76" s="61" t="s">
        <v>217</v>
      </c>
      <c r="E76" s="62">
        <v>0</v>
      </c>
      <c r="F76" s="63"/>
      <c r="G76" s="99">
        <f>SUM(G77)</f>
        <v>0</v>
      </c>
      <c r="H76" s="99">
        <f>SUM(H77)</f>
        <v>0</v>
      </c>
      <c r="I76" s="65" t="e">
        <f t="shared" si="3"/>
        <v>#DIV/0!</v>
      </c>
    </row>
    <row r="77" spans="1:9" ht="24" hidden="1" outlineLevel="2">
      <c r="A77" s="105" t="s">
        <v>100</v>
      </c>
      <c r="B77" s="61" t="s">
        <v>39</v>
      </c>
      <c r="C77" s="61" t="s">
        <v>29</v>
      </c>
      <c r="D77" s="61" t="s">
        <v>217</v>
      </c>
      <c r="E77" s="62">
        <v>0</v>
      </c>
      <c r="F77" s="63">
        <v>200</v>
      </c>
      <c r="G77" s="99">
        <v>0</v>
      </c>
      <c r="H77" s="99">
        <v>0</v>
      </c>
      <c r="I77" s="65" t="e">
        <f t="shared" si="3"/>
        <v>#DIV/0!</v>
      </c>
    </row>
    <row r="78" spans="1:9" ht="35.25" customHeight="1" outlineLevel="2">
      <c r="A78" s="60" t="s">
        <v>252</v>
      </c>
      <c r="B78" s="61" t="s">
        <v>39</v>
      </c>
      <c r="C78" s="61" t="s">
        <v>29</v>
      </c>
      <c r="D78" s="61" t="s">
        <v>182</v>
      </c>
      <c r="E78" s="62">
        <v>0</v>
      </c>
      <c r="F78" s="63"/>
      <c r="G78" s="99">
        <f>SUM(G79)</f>
        <v>10</v>
      </c>
      <c r="H78" s="99">
        <f>SUM(H79)</f>
        <v>0</v>
      </c>
      <c r="I78" s="65">
        <f t="shared" si="3"/>
        <v>0</v>
      </c>
    </row>
    <row r="79" spans="1:9" ht="24" outlineLevel="2">
      <c r="A79" s="60" t="s">
        <v>100</v>
      </c>
      <c r="B79" s="61" t="s">
        <v>39</v>
      </c>
      <c r="C79" s="61" t="s">
        <v>29</v>
      </c>
      <c r="D79" s="61" t="s">
        <v>182</v>
      </c>
      <c r="E79" s="62">
        <v>0</v>
      </c>
      <c r="F79" s="63">
        <v>200</v>
      </c>
      <c r="G79" s="99">
        <f>50-40</f>
        <v>10</v>
      </c>
      <c r="H79" s="99">
        <v>0</v>
      </c>
      <c r="I79" s="65">
        <f t="shared" si="3"/>
        <v>0</v>
      </c>
    </row>
    <row r="80" spans="1:9" ht="51" customHeight="1" outlineLevel="2">
      <c r="A80" s="60" t="s">
        <v>335</v>
      </c>
      <c r="B80" s="61" t="s">
        <v>39</v>
      </c>
      <c r="C80" s="61" t="s">
        <v>29</v>
      </c>
      <c r="D80" s="61" t="s">
        <v>14</v>
      </c>
      <c r="E80" s="62">
        <v>0</v>
      </c>
      <c r="F80" s="63"/>
      <c r="G80" s="99">
        <f>SUM(G81:G82)</f>
        <v>39020</v>
      </c>
      <c r="H80" s="99">
        <f>SUM(H81:H82)</f>
        <v>32996.32404</v>
      </c>
      <c r="I80" s="65">
        <f t="shared" si="3"/>
        <v>84.56259364428497</v>
      </c>
    </row>
    <row r="81" spans="1:9" ht="23.25" customHeight="1" outlineLevel="2">
      <c r="A81" s="60" t="s">
        <v>154</v>
      </c>
      <c r="B81" s="61" t="s">
        <v>39</v>
      </c>
      <c r="C81" s="61" t="s">
        <v>29</v>
      </c>
      <c r="D81" s="61" t="s">
        <v>14</v>
      </c>
      <c r="E81" s="62">
        <v>0</v>
      </c>
      <c r="F81" s="63">
        <v>600</v>
      </c>
      <c r="G81" s="99">
        <f>31000+7000</f>
        <v>38000</v>
      </c>
      <c r="H81" s="99">
        <v>32527.56104</v>
      </c>
      <c r="I81" s="65">
        <f t="shared" si="3"/>
        <v>85.59884484210527</v>
      </c>
    </row>
    <row r="82" spans="1:9" ht="35.25" customHeight="1" outlineLevel="2">
      <c r="A82" s="60" t="s">
        <v>289</v>
      </c>
      <c r="B82" s="61" t="s">
        <v>39</v>
      </c>
      <c r="C82" s="61" t="s">
        <v>29</v>
      </c>
      <c r="D82" s="61" t="s">
        <v>14</v>
      </c>
      <c r="E82" s="62">
        <v>0</v>
      </c>
      <c r="F82" s="63">
        <v>600</v>
      </c>
      <c r="G82" s="99">
        <v>1020</v>
      </c>
      <c r="H82" s="99">
        <v>468.763</v>
      </c>
      <c r="I82" s="65">
        <f t="shared" si="3"/>
        <v>45.957156862745094</v>
      </c>
    </row>
    <row r="83" spans="1:9" ht="15.75" outlineLevel="2">
      <c r="A83" s="60" t="s">
        <v>231</v>
      </c>
      <c r="B83" s="61" t="s">
        <v>39</v>
      </c>
      <c r="C83" s="61" t="s">
        <v>29</v>
      </c>
      <c r="D83" s="61"/>
      <c r="E83" s="62"/>
      <c r="F83" s="63"/>
      <c r="G83" s="99">
        <f>SUM(G84)</f>
        <v>925.8</v>
      </c>
      <c r="H83" s="99">
        <f>SUM(H84)</f>
        <v>674.198</v>
      </c>
      <c r="I83" s="65">
        <f t="shared" si="3"/>
        <v>72.82328796716354</v>
      </c>
    </row>
    <row r="84" spans="1:9" ht="26.25" customHeight="1" outlineLevel="2">
      <c r="A84" s="60" t="s">
        <v>101</v>
      </c>
      <c r="B84" s="61" t="s">
        <v>39</v>
      </c>
      <c r="C84" s="61" t="s">
        <v>29</v>
      </c>
      <c r="D84" s="61" t="s">
        <v>11</v>
      </c>
      <c r="E84" s="62">
        <v>0</v>
      </c>
      <c r="F84" s="63"/>
      <c r="G84" s="99">
        <f>SUM(G85:G86)</f>
        <v>925.8</v>
      </c>
      <c r="H84" s="99">
        <f>SUM(H85:H86)</f>
        <v>674.198</v>
      </c>
      <c r="I84" s="65">
        <f t="shared" si="3"/>
        <v>72.82328796716354</v>
      </c>
    </row>
    <row r="85" spans="1:9" ht="50.25" customHeight="1" outlineLevel="2">
      <c r="A85" s="60" t="s">
        <v>99</v>
      </c>
      <c r="B85" s="61" t="s">
        <v>39</v>
      </c>
      <c r="C85" s="61" t="s">
        <v>29</v>
      </c>
      <c r="D85" s="61" t="s">
        <v>11</v>
      </c>
      <c r="E85" s="62" t="s">
        <v>9</v>
      </c>
      <c r="F85" s="63">
        <v>100</v>
      </c>
      <c r="G85" s="99">
        <f>766.5+14.6</f>
        <v>781.1</v>
      </c>
      <c r="H85" s="99">
        <v>600.8613</v>
      </c>
      <c r="I85" s="65">
        <f t="shared" si="3"/>
        <v>76.92501600307259</v>
      </c>
    </row>
    <row r="86" spans="1:9" ht="24" outlineLevel="2">
      <c r="A86" s="60" t="s">
        <v>100</v>
      </c>
      <c r="B86" s="61" t="s">
        <v>39</v>
      </c>
      <c r="C86" s="61" t="s">
        <v>29</v>
      </c>
      <c r="D86" s="61" t="s">
        <v>11</v>
      </c>
      <c r="E86" s="62" t="s">
        <v>9</v>
      </c>
      <c r="F86" s="63">
        <v>200</v>
      </c>
      <c r="G86" s="99">
        <f>217.2-72.5</f>
        <v>144.7</v>
      </c>
      <c r="H86" s="99">
        <v>73.3367</v>
      </c>
      <c r="I86" s="65">
        <f t="shared" si="3"/>
        <v>50.681893572909466</v>
      </c>
    </row>
    <row r="87" spans="1:9" ht="27.75" customHeight="1" outlineLevel="2">
      <c r="A87" s="60" t="s">
        <v>226</v>
      </c>
      <c r="B87" s="61" t="s">
        <v>39</v>
      </c>
      <c r="C87" s="61" t="s">
        <v>29</v>
      </c>
      <c r="D87" s="61" t="s">
        <v>16</v>
      </c>
      <c r="E87" s="62">
        <v>0</v>
      </c>
      <c r="F87" s="63"/>
      <c r="G87" s="99">
        <f>SUM(G88)</f>
        <v>100</v>
      </c>
      <c r="H87" s="99">
        <f>SUM(H88)</f>
        <v>9.6</v>
      </c>
      <c r="I87" s="65">
        <f t="shared" si="3"/>
        <v>9.6</v>
      </c>
    </row>
    <row r="88" spans="1:9" ht="25.5" customHeight="1" outlineLevel="2">
      <c r="A88" s="60" t="s">
        <v>153</v>
      </c>
      <c r="B88" s="61" t="s">
        <v>39</v>
      </c>
      <c r="C88" s="61" t="s">
        <v>29</v>
      </c>
      <c r="D88" s="61" t="s">
        <v>16</v>
      </c>
      <c r="E88" s="62" t="s">
        <v>9</v>
      </c>
      <c r="F88" s="63"/>
      <c r="G88" s="99">
        <f>SUM(G89)</f>
        <v>100</v>
      </c>
      <c r="H88" s="99">
        <f>SUM(H89)</f>
        <v>9.6</v>
      </c>
      <c r="I88" s="65">
        <f t="shared" si="3"/>
        <v>9.6</v>
      </c>
    </row>
    <row r="89" spans="1:9" ht="24" outlineLevel="5">
      <c r="A89" s="60" t="s">
        <v>100</v>
      </c>
      <c r="B89" s="61" t="s">
        <v>39</v>
      </c>
      <c r="C89" s="61" t="s">
        <v>29</v>
      </c>
      <c r="D89" s="61" t="s">
        <v>16</v>
      </c>
      <c r="E89" s="62" t="s">
        <v>9</v>
      </c>
      <c r="F89" s="63">
        <v>200</v>
      </c>
      <c r="G89" s="99">
        <v>100</v>
      </c>
      <c r="H89" s="99">
        <v>9.6</v>
      </c>
      <c r="I89" s="65">
        <f t="shared" si="3"/>
        <v>9.6</v>
      </c>
    </row>
    <row r="90" spans="1:9" ht="24" outlineLevel="5">
      <c r="A90" s="60" t="s">
        <v>225</v>
      </c>
      <c r="B90" s="61" t="s">
        <v>39</v>
      </c>
      <c r="C90" s="61" t="s">
        <v>29</v>
      </c>
      <c r="D90" s="61" t="s">
        <v>16</v>
      </c>
      <c r="E90" s="62">
        <v>0</v>
      </c>
      <c r="F90" s="63"/>
      <c r="G90" s="99">
        <f>SUM(G91)</f>
        <v>2455.8248999999987</v>
      </c>
      <c r="H90" s="99">
        <f>SUM(H91)</f>
        <v>754.58362</v>
      </c>
      <c r="I90" s="65">
        <f t="shared" si="3"/>
        <v>30.726279385798243</v>
      </c>
    </row>
    <row r="91" spans="1:9" ht="24.75" customHeight="1" outlineLevel="5">
      <c r="A91" s="60" t="s">
        <v>153</v>
      </c>
      <c r="B91" s="61" t="s">
        <v>39</v>
      </c>
      <c r="C91" s="61" t="s">
        <v>29</v>
      </c>
      <c r="D91" s="61" t="s">
        <v>16</v>
      </c>
      <c r="E91" s="62" t="s">
        <v>9</v>
      </c>
      <c r="F91" s="63"/>
      <c r="G91" s="99">
        <f>SUM(G92:G93)</f>
        <v>2455.8248999999987</v>
      </c>
      <c r="H91" s="99">
        <f>SUM(H92:H93)</f>
        <v>754.58362</v>
      </c>
      <c r="I91" s="65">
        <f t="shared" si="3"/>
        <v>30.726279385798243</v>
      </c>
    </row>
    <row r="92" spans="1:9" ht="24" outlineLevel="5">
      <c r="A92" s="60" t="s">
        <v>100</v>
      </c>
      <c r="B92" s="61" t="s">
        <v>39</v>
      </c>
      <c r="C92" s="61" t="s">
        <v>29</v>
      </c>
      <c r="D92" s="61" t="s">
        <v>16</v>
      </c>
      <c r="E92" s="62">
        <v>0</v>
      </c>
      <c r="F92" s="63">
        <v>200</v>
      </c>
      <c r="G92" s="99">
        <f>1200+4562.21297+180+182.4-4572.35-37.88095-19.18163-1.19549-440-17.88-2.3-18</f>
        <v>1015.8248999999987</v>
      </c>
      <c r="H92" s="99">
        <v>254.55539</v>
      </c>
      <c r="I92" s="65">
        <f t="shared" si="3"/>
        <v>25.05898309836669</v>
      </c>
    </row>
    <row r="93" spans="1:9" ht="15.75" outlineLevel="5">
      <c r="A93" s="60" t="s">
        <v>142</v>
      </c>
      <c r="B93" s="61" t="s">
        <v>39</v>
      </c>
      <c r="C93" s="61" t="s">
        <v>29</v>
      </c>
      <c r="D93" s="61" t="s">
        <v>16</v>
      </c>
      <c r="E93" s="62">
        <v>0</v>
      </c>
      <c r="F93" s="63">
        <v>800</v>
      </c>
      <c r="G93" s="99">
        <f>1000+440</f>
        <v>1440</v>
      </c>
      <c r="H93" s="99">
        <v>500.02823</v>
      </c>
      <c r="I93" s="65">
        <f t="shared" si="3"/>
        <v>34.72418263888889</v>
      </c>
    </row>
    <row r="94" spans="1:9" ht="24" hidden="1" outlineLevel="5">
      <c r="A94" s="60" t="s">
        <v>320</v>
      </c>
      <c r="B94" s="61" t="s">
        <v>39</v>
      </c>
      <c r="C94" s="61" t="s">
        <v>29</v>
      </c>
      <c r="D94" s="61" t="s">
        <v>16</v>
      </c>
      <c r="E94" s="62">
        <v>0</v>
      </c>
      <c r="F94" s="63"/>
      <c r="G94" s="99">
        <f>SUM(G95)</f>
        <v>0</v>
      </c>
      <c r="H94" s="99">
        <f>SUM(H95)</f>
        <v>0</v>
      </c>
      <c r="I94" s="65" t="e">
        <f t="shared" si="3"/>
        <v>#DIV/0!</v>
      </c>
    </row>
    <row r="95" spans="1:9" ht="24" hidden="1" outlineLevel="5">
      <c r="A95" s="60" t="s">
        <v>153</v>
      </c>
      <c r="B95" s="61" t="s">
        <v>39</v>
      </c>
      <c r="C95" s="61" t="s">
        <v>29</v>
      </c>
      <c r="D95" s="61" t="s">
        <v>16</v>
      </c>
      <c r="E95" s="62" t="s">
        <v>9</v>
      </c>
      <c r="F95" s="63"/>
      <c r="G95" s="99">
        <f>SUM(G96)</f>
        <v>0</v>
      </c>
      <c r="H95" s="99">
        <f>SUM(H96)</f>
        <v>0</v>
      </c>
      <c r="I95" s="65" t="e">
        <f t="shared" si="3"/>
        <v>#DIV/0!</v>
      </c>
    </row>
    <row r="96" spans="1:9" ht="24" hidden="1" outlineLevel="5">
      <c r="A96" s="60" t="s">
        <v>100</v>
      </c>
      <c r="B96" s="61" t="s">
        <v>39</v>
      </c>
      <c r="C96" s="61" t="s">
        <v>29</v>
      </c>
      <c r="D96" s="61" t="s">
        <v>16</v>
      </c>
      <c r="E96" s="62">
        <v>0</v>
      </c>
      <c r="F96" s="63">
        <v>200</v>
      </c>
      <c r="G96" s="99">
        <v>0</v>
      </c>
      <c r="H96" s="99">
        <v>0</v>
      </c>
      <c r="I96" s="65" t="e">
        <f t="shared" si="3"/>
        <v>#DIV/0!</v>
      </c>
    </row>
    <row r="97" spans="1:9" ht="15.75" outlineLevel="5">
      <c r="A97" s="60" t="s">
        <v>47</v>
      </c>
      <c r="B97" s="61" t="s">
        <v>39</v>
      </c>
      <c r="C97" s="61" t="s">
        <v>29</v>
      </c>
      <c r="D97" s="61" t="s">
        <v>16</v>
      </c>
      <c r="E97" s="62">
        <v>0</v>
      </c>
      <c r="F97" s="63"/>
      <c r="G97" s="99">
        <v>0</v>
      </c>
      <c r="H97" s="99">
        <v>0</v>
      </c>
      <c r="I97" s="65">
        <v>0</v>
      </c>
    </row>
    <row r="98" spans="1:9" ht="15.75" outlineLevel="1">
      <c r="A98" s="60" t="s">
        <v>48</v>
      </c>
      <c r="B98" s="61" t="s">
        <v>39</v>
      </c>
      <c r="C98" s="61" t="s">
        <v>111</v>
      </c>
      <c r="D98" s="61"/>
      <c r="E98" s="62"/>
      <c r="F98" s="63"/>
      <c r="G98" s="99">
        <f aca="true" t="shared" si="4" ref="G98:H101">SUM(G99)</f>
        <v>20</v>
      </c>
      <c r="H98" s="99">
        <f t="shared" si="4"/>
        <v>0</v>
      </c>
      <c r="I98" s="65">
        <f t="shared" si="3"/>
        <v>0</v>
      </c>
    </row>
    <row r="99" spans="1:9" ht="15.75" outlineLevel="2">
      <c r="A99" s="60" t="s">
        <v>49</v>
      </c>
      <c r="B99" s="61" t="s">
        <v>39</v>
      </c>
      <c r="C99" s="61" t="s">
        <v>50</v>
      </c>
      <c r="D99" s="61"/>
      <c r="E99" s="62"/>
      <c r="F99" s="63"/>
      <c r="G99" s="99">
        <f t="shared" si="4"/>
        <v>20</v>
      </c>
      <c r="H99" s="99">
        <f t="shared" si="4"/>
        <v>0</v>
      </c>
      <c r="I99" s="65">
        <f t="shared" si="3"/>
        <v>0</v>
      </c>
    </row>
    <row r="100" spans="1:9" ht="15.75" outlineLevel="5">
      <c r="A100" s="60" t="s">
        <v>17</v>
      </c>
      <c r="B100" s="61" t="s">
        <v>39</v>
      </c>
      <c r="C100" s="61" t="s">
        <v>50</v>
      </c>
      <c r="D100" s="61"/>
      <c r="E100" s="62"/>
      <c r="F100" s="63"/>
      <c r="G100" s="99">
        <f t="shared" si="4"/>
        <v>20</v>
      </c>
      <c r="H100" s="99">
        <f t="shared" si="4"/>
        <v>0</v>
      </c>
      <c r="I100" s="65">
        <f t="shared" si="3"/>
        <v>0</v>
      </c>
    </row>
    <row r="101" spans="1:9" ht="27" customHeight="1" outlineLevel="5">
      <c r="A101" s="60" t="s">
        <v>153</v>
      </c>
      <c r="B101" s="61" t="s">
        <v>39</v>
      </c>
      <c r="C101" s="61" t="s">
        <v>50</v>
      </c>
      <c r="D101" s="61" t="s">
        <v>16</v>
      </c>
      <c r="E101" s="62">
        <v>0</v>
      </c>
      <c r="F101" s="63"/>
      <c r="G101" s="99">
        <f t="shared" si="4"/>
        <v>20</v>
      </c>
      <c r="H101" s="99">
        <f t="shared" si="4"/>
        <v>0</v>
      </c>
      <c r="I101" s="65">
        <f t="shared" si="3"/>
        <v>0</v>
      </c>
    </row>
    <row r="102" spans="1:9" ht="24" outlineLevel="5">
      <c r="A102" s="60" t="s">
        <v>100</v>
      </c>
      <c r="B102" s="61" t="s">
        <v>39</v>
      </c>
      <c r="C102" s="61" t="s">
        <v>50</v>
      </c>
      <c r="D102" s="61" t="s">
        <v>16</v>
      </c>
      <c r="E102" s="62">
        <v>0</v>
      </c>
      <c r="F102" s="63">
        <v>200</v>
      </c>
      <c r="G102" s="99">
        <v>20</v>
      </c>
      <c r="H102" s="99">
        <v>0</v>
      </c>
      <c r="I102" s="65">
        <f t="shared" si="3"/>
        <v>0</v>
      </c>
    </row>
    <row r="103" spans="1:9" ht="15.75" outlineLevel="5">
      <c r="A103" s="60" t="s">
        <v>116</v>
      </c>
      <c r="B103" s="61" t="s">
        <v>39</v>
      </c>
      <c r="C103" s="61" t="s">
        <v>112</v>
      </c>
      <c r="D103" s="61"/>
      <c r="E103" s="62"/>
      <c r="F103" s="63"/>
      <c r="G103" s="99">
        <f>SUM(G104+G107)</f>
        <v>70</v>
      </c>
      <c r="H103" s="99">
        <f>SUM(H104+H107)</f>
        <v>50</v>
      </c>
      <c r="I103" s="65">
        <f t="shared" si="3"/>
        <v>71.42857142857143</v>
      </c>
    </row>
    <row r="104" spans="1:9" ht="15.75" outlineLevel="5">
      <c r="A104" s="60" t="s">
        <v>299</v>
      </c>
      <c r="B104" s="61" t="s">
        <v>39</v>
      </c>
      <c r="C104" s="61" t="s">
        <v>51</v>
      </c>
      <c r="D104" s="61"/>
      <c r="E104" s="62"/>
      <c r="F104" s="63"/>
      <c r="G104" s="99">
        <f>SUM(G105)</f>
        <v>20</v>
      </c>
      <c r="H104" s="99">
        <f>SUM(H105)</f>
        <v>0</v>
      </c>
      <c r="I104" s="65">
        <f t="shared" si="3"/>
        <v>0</v>
      </c>
    </row>
    <row r="105" spans="1:9" ht="24" outlineLevel="5">
      <c r="A105" s="60" t="s">
        <v>153</v>
      </c>
      <c r="B105" s="61" t="s">
        <v>39</v>
      </c>
      <c r="C105" s="61" t="s">
        <v>51</v>
      </c>
      <c r="D105" s="61" t="s">
        <v>16</v>
      </c>
      <c r="E105" s="62">
        <v>0</v>
      </c>
      <c r="F105" s="63"/>
      <c r="G105" s="99">
        <f>SUM(G106)</f>
        <v>20</v>
      </c>
      <c r="H105" s="99">
        <f>SUM(H106)</f>
        <v>0</v>
      </c>
      <c r="I105" s="65">
        <f t="shared" si="3"/>
        <v>0</v>
      </c>
    </row>
    <row r="106" spans="1:9" ht="24" outlineLevel="5">
      <c r="A106" s="60" t="s">
        <v>100</v>
      </c>
      <c r="B106" s="61" t="s">
        <v>39</v>
      </c>
      <c r="C106" s="61" t="s">
        <v>51</v>
      </c>
      <c r="D106" s="61" t="s">
        <v>16</v>
      </c>
      <c r="E106" s="62">
        <v>0</v>
      </c>
      <c r="F106" s="63">
        <v>200</v>
      </c>
      <c r="G106" s="99">
        <v>20</v>
      </c>
      <c r="H106" s="99">
        <v>0</v>
      </c>
      <c r="I106" s="65">
        <f t="shared" si="3"/>
        <v>0</v>
      </c>
    </row>
    <row r="107" spans="1:9" ht="30" customHeight="1" outlineLevel="1">
      <c r="A107" s="60" t="s">
        <v>297</v>
      </c>
      <c r="B107" s="61" t="s">
        <v>39</v>
      </c>
      <c r="C107" s="61" t="s">
        <v>298</v>
      </c>
      <c r="D107" s="61"/>
      <c r="E107" s="62"/>
      <c r="F107" s="63"/>
      <c r="G107" s="99">
        <f>SUM(G108)</f>
        <v>50</v>
      </c>
      <c r="H107" s="99">
        <f>SUM(H108)</f>
        <v>50</v>
      </c>
      <c r="I107" s="65">
        <f t="shared" si="3"/>
        <v>100</v>
      </c>
    </row>
    <row r="108" spans="1:9" ht="24.75" customHeight="1" outlineLevel="2">
      <c r="A108" s="60" t="s">
        <v>153</v>
      </c>
      <c r="B108" s="61" t="s">
        <v>39</v>
      </c>
      <c r="C108" s="61" t="s">
        <v>298</v>
      </c>
      <c r="D108" s="61" t="s">
        <v>16</v>
      </c>
      <c r="E108" s="62">
        <v>0</v>
      </c>
      <c r="F108" s="63"/>
      <c r="G108" s="99">
        <f>SUM(G109)</f>
        <v>50</v>
      </c>
      <c r="H108" s="99">
        <f>SUM(H109)</f>
        <v>50</v>
      </c>
      <c r="I108" s="65">
        <f t="shared" si="3"/>
        <v>100</v>
      </c>
    </row>
    <row r="109" spans="1:9" ht="24" outlineLevel="3">
      <c r="A109" s="60" t="s">
        <v>100</v>
      </c>
      <c r="B109" s="61" t="s">
        <v>39</v>
      </c>
      <c r="C109" s="61" t="s">
        <v>298</v>
      </c>
      <c r="D109" s="61" t="s">
        <v>16</v>
      </c>
      <c r="E109" s="62">
        <v>0</v>
      </c>
      <c r="F109" s="63">
        <v>200</v>
      </c>
      <c r="G109" s="99">
        <f>50+10-10</f>
        <v>50</v>
      </c>
      <c r="H109" s="99">
        <v>50</v>
      </c>
      <c r="I109" s="65">
        <f t="shared" si="3"/>
        <v>100</v>
      </c>
    </row>
    <row r="110" spans="1:9" ht="15" customHeight="1" outlineLevel="3">
      <c r="A110" s="60" t="s">
        <v>117</v>
      </c>
      <c r="B110" s="61" t="s">
        <v>39</v>
      </c>
      <c r="C110" s="61" t="s">
        <v>59</v>
      </c>
      <c r="D110" s="61"/>
      <c r="E110" s="62"/>
      <c r="F110" s="63"/>
      <c r="G110" s="104">
        <f>SUM(G111+G115+G123)</f>
        <v>40549.2632</v>
      </c>
      <c r="H110" s="104">
        <f>SUM(H111+H115+H123)</f>
        <v>7935.1457</v>
      </c>
      <c r="I110" s="65">
        <f t="shared" si="3"/>
        <v>19.5691489161263</v>
      </c>
    </row>
    <row r="111" spans="1:9" ht="15.75" outlineLevel="3">
      <c r="A111" s="60" t="s">
        <v>143</v>
      </c>
      <c r="B111" s="61" t="s">
        <v>39</v>
      </c>
      <c r="C111" s="61" t="s">
        <v>144</v>
      </c>
      <c r="D111" s="61"/>
      <c r="E111" s="62"/>
      <c r="F111" s="63"/>
      <c r="G111" s="104">
        <f aca="true" t="shared" si="5" ref="G111:H113">SUM(G112)</f>
        <v>143.5</v>
      </c>
      <c r="H111" s="104">
        <f t="shared" si="5"/>
        <v>143.5</v>
      </c>
      <c r="I111" s="65">
        <f t="shared" si="3"/>
        <v>100</v>
      </c>
    </row>
    <row r="112" spans="1:9" ht="48" outlineLevel="3">
      <c r="A112" s="60" t="s">
        <v>227</v>
      </c>
      <c r="B112" s="61" t="s">
        <v>39</v>
      </c>
      <c r="C112" s="61" t="s">
        <v>144</v>
      </c>
      <c r="D112" s="61" t="s">
        <v>16</v>
      </c>
      <c r="E112" s="62">
        <v>0</v>
      </c>
      <c r="F112" s="63"/>
      <c r="G112" s="104">
        <f t="shared" si="5"/>
        <v>143.5</v>
      </c>
      <c r="H112" s="104">
        <f t="shared" si="5"/>
        <v>143.5</v>
      </c>
      <c r="I112" s="65">
        <f t="shared" si="3"/>
        <v>100</v>
      </c>
    </row>
    <row r="113" spans="1:9" ht="24" outlineLevel="3">
      <c r="A113" s="60" t="s">
        <v>153</v>
      </c>
      <c r="B113" s="61" t="s">
        <v>39</v>
      </c>
      <c r="C113" s="61" t="s">
        <v>144</v>
      </c>
      <c r="D113" s="61" t="s">
        <v>16</v>
      </c>
      <c r="E113" s="62">
        <v>0</v>
      </c>
      <c r="F113" s="63"/>
      <c r="G113" s="104">
        <f t="shared" si="5"/>
        <v>143.5</v>
      </c>
      <c r="H113" s="104">
        <f t="shared" si="5"/>
        <v>143.5</v>
      </c>
      <c r="I113" s="65">
        <f t="shared" si="3"/>
        <v>100</v>
      </c>
    </row>
    <row r="114" spans="1:9" ht="24" outlineLevel="3">
      <c r="A114" s="60" t="s">
        <v>100</v>
      </c>
      <c r="B114" s="61" t="s">
        <v>39</v>
      </c>
      <c r="C114" s="61" t="s">
        <v>144</v>
      </c>
      <c r="D114" s="61" t="s">
        <v>16</v>
      </c>
      <c r="E114" s="62">
        <v>0</v>
      </c>
      <c r="F114" s="63">
        <v>200</v>
      </c>
      <c r="G114" s="99">
        <v>143.5</v>
      </c>
      <c r="H114" s="99">
        <v>143.5</v>
      </c>
      <c r="I114" s="65">
        <f t="shared" si="3"/>
        <v>100</v>
      </c>
    </row>
    <row r="115" spans="1:9" ht="15.75">
      <c r="A115" s="60" t="s">
        <v>118</v>
      </c>
      <c r="B115" s="61" t="s">
        <v>39</v>
      </c>
      <c r="C115" s="61" t="s">
        <v>52</v>
      </c>
      <c r="D115" s="61"/>
      <c r="E115" s="62"/>
      <c r="F115" s="63"/>
      <c r="G115" s="104">
        <f>SUM(G116+G121)</f>
        <v>31338.108079999998</v>
      </c>
      <c r="H115" s="104">
        <f>SUM(H116+H121)</f>
        <v>7379.2577</v>
      </c>
      <c r="I115" s="65">
        <f t="shared" si="3"/>
        <v>23.547234189001497</v>
      </c>
    </row>
    <row r="116" spans="1:9" ht="38.25" customHeight="1" outlineLevel="1">
      <c r="A116" s="60" t="s">
        <v>271</v>
      </c>
      <c r="B116" s="61" t="s">
        <v>39</v>
      </c>
      <c r="C116" s="61" t="s">
        <v>52</v>
      </c>
      <c r="D116" s="61" t="s">
        <v>147</v>
      </c>
      <c r="E116" s="62">
        <v>0</v>
      </c>
      <c r="F116" s="64"/>
      <c r="G116" s="99">
        <f>SUM(G117:G120)</f>
        <v>31338.108079999998</v>
      </c>
      <c r="H116" s="99">
        <f>SUM(H117:H120)</f>
        <v>7379.2577</v>
      </c>
      <c r="I116" s="65">
        <f t="shared" si="3"/>
        <v>23.547234189001497</v>
      </c>
    </row>
    <row r="117" spans="1:9" ht="24" outlineLevel="2">
      <c r="A117" s="60" t="s">
        <v>100</v>
      </c>
      <c r="B117" s="61" t="s">
        <v>39</v>
      </c>
      <c r="C117" s="61" t="s">
        <v>52</v>
      </c>
      <c r="D117" s="61" t="s">
        <v>147</v>
      </c>
      <c r="E117" s="62">
        <v>0</v>
      </c>
      <c r="F117" s="64">
        <v>200</v>
      </c>
      <c r="G117" s="99">
        <f>8742.4-60.60606-2.0202-7000+2499.9</f>
        <v>4179.673739999998</v>
      </c>
      <c r="H117" s="99">
        <v>0</v>
      </c>
      <c r="I117" s="65">
        <f t="shared" si="3"/>
        <v>0</v>
      </c>
    </row>
    <row r="118" spans="1:9" ht="16.5" customHeight="1" outlineLevel="2">
      <c r="A118" s="60" t="s">
        <v>304</v>
      </c>
      <c r="B118" s="61" t="s">
        <v>39</v>
      </c>
      <c r="C118" s="61" t="s">
        <v>52</v>
      </c>
      <c r="D118" s="61" t="s">
        <v>147</v>
      </c>
      <c r="E118" s="62">
        <v>0</v>
      </c>
      <c r="F118" s="64">
        <v>200</v>
      </c>
      <c r="G118" s="99">
        <f>10815+8000-3615-1200+635.39394-435.39394</f>
        <v>14200</v>
      </c>
      <c r="H118" s="99">
        <v>6488.46</v>
      </c>
      <c r="I118" s="65">
        <f t="shared" si="3"/>
        <v>45.693380281690146</v>
      </c>
    </row>
    <row r="119" spans="1:9" ht="29.25" customHeight="1" outlineLevel="2">
      <c r="A119" s="60" t="s">
        <v>305</v>
      </c>
      <c r="B119" s="61" t="s">
        <v>39</v>
      </c>
      <c r="C119" s="61" t="s">
        <v>52</v>
      </c>
      <c r="D119" s="61" t="s">
        <v>147</v>
      </c>
      <c r="E119" s="62">
        <v>0</v>
      </c>
      <c r="F119" s="64">
        <v>200</v>
      </c>
      <c r="G119" s="99">
        <f>60.60606+80.80808+2.0202</f>
        <v>143.43434</v>
      </c>
      <c r="H119" s="99">
        <v>65.54</v>
      </c>
      <c r="I119" s="65">
        <f t="shared" si="3"/>
        <v>45.69338137575703</v>
      </c>
    </row>
    <row r="120" spans="1:9" ht="21.75" customHeight="1" outlineLevel="2" collapsed="1">
      <c r="A120" s="60" t="s">
        <v>267</v>
      </c>
      <c r="B120" s="61" t="s">
        <v>39</v>
      </c>
      <c r="C120" s="61" t="s">
        <v>52</v>
      </c>
      <c r="D120" s="61" t="s">
        <v>147</v>
      </c>
      <c r="E120" s="62">
        <v>0</v>
      </c>
      <c r="F120" s="64">
        <v>500</v>
      </c>
      <c r="G120" s="99">
        <f>3615+1200-635.39394+8000+635.39394</f>
        <v>12815</v>
      </c>
      <c r="H120" s="99">
        <v>825.2577</v>
      </c>
      <c r="I120" s="65">
        <f t="shared" si="3"/>
        <v>6.439779165040968</v>
      </c>
    </row>
    <row r="121" spans="1:9" ht="1.5" customHeight="1" hidden="1" outlineLevel="3">
      <c r="A121" s="60" t="s">
        <v>272</v>
      </c>
      <c r="B121" s="61" t="s">
        <v>39</v>
      </c>
      <c r="C121" s="61" t="s">
        <v>52</v>
      </c>
      <c r="D121" s="61" t="s">
        <v>12</v>
      </c>
      <c r="E121" s="62">
        <v>0</v>
      </c>
      <c r="F121" s="63"/>
      <c r="G121" s="99">
        <f>SUM(G122)</f>
        <v>0</v>
      </c>
      <c r="H121" s="99">
        <f>SUM(H122)</f>
        <v>0</v>
      </c>
      <c r="I121" s="65" t="e">
        <f t="shared" si="3"/>
        <v>#DIV/0!</v>
      </c>
    </row>
    <row r="122" spans="1:9" ht="24" hidden="1" outlineLevel="3">
      <c r="A122" s="60" t="s">
        <v>154</v>
      </c>
      <c r="B122" s="61" t="s">
        <v>39</v>
      </c>
      <c r="C122" s="61" t="s">
        <v>52</v>
      </c>
      <c r="D122" s="61" t="s">
        <v>12</v>
      </c>
      <c r="E122" s="62">
        <v>0</v>
      </c>
      <c r="F122" s="63">
        <v>600</v>
      </c>
      <c r="G122" s="99">
        <v>0</v>
      </c>
      <c r="H122" s="99">
        <v>0</v>
      </c>
      <c r="I122" s="65" t="e">
        <f t="shared" si="3"/>
        <v>#DIV/0!</v>
      </c>
    </row>
    <row r="123" spans="1:9" ht="15.75" outlineLevel="3">
      <c r="A123" s="60" t="s">
        <v>119</v>
      </c>
      <c r="B123" s="61" t="s">
        <v>39</v>
      </c>
      <c r="C123" s="61" t="s">
        <v>53</v>
      </c>
      <c r="D123" s="61"/>
      <c r="E123" s="62"/>
      <c r="F123" s="63"/>
      <c r="G123" s="99">
        <f>SUM(G124+G128)</f>
        <v>9067.65512</v>
      </c>
      <c r="H123" s="99">
        <f>SUM(H124+H128)</f>
        <v>412.38800000000003</v>
      </c>
      <c r="I123" s="65">
        <f t="shared" si="3"/>
        <v>4.547901243954678</v>
      </c>
    </row>
    <row r="124" spans="1:9" ht="34.5" customHeight="1" outlineLevel="3">
      <c r="A124" s="60" t="s">
        <v>247</v>
      </c>
      <c r="B124" s="61" t="s">
        <v>39</v>
      </c>
      <c r="C124" s="61" t="s">
        <v>53</v>
      </c>
      <c r="D124" s="61" t="s">
        <v>13</v>
      </c>
      <c r="E124" s="62">
        <v>0</v>
      </c>
      <c r="F124" s="63"/>
      <c r="G124" s="99">
        <f>SUM(G125:G127)</f>
        <v>100</v>
      </c>
      <c r="H124" s="99">
        <f>SUM(H125:H127)</f>
        <v>0</v>
      </c>
      <c r="I124" s="65">
        <f t="shared" si="3"/>
        <v>0</v>
      </c>
    </row>
    <row r="125" spans="1:9" ht="24" hidden="1" outlineLevel="3">
      <c r="A125" s="60" t="s">
        <v>100</v>
      </c>
      <c r="B125" s="61" t="s">
        <v>39</v>
      </c>
      <c r="C125" s="61" t="s">
        <v>53</v>
      </c>
      <c r="D125" s="61" t="s">
        <v>13</v>
      </c>
      <c r="E125" s="62">
        <v>0</v>
      </c>
      <c r="F125" s="63">
        <v>200</v>
      </c>
      <c r="G125" s="99">
        <v>0</v>
      </c>
      <c r="H125" s="99">
        <v>0</v>
      </c>
      <c r="I125" s="65" t="e">
        <f t="shared" si="3"/>
        <v>#DIV/0!</v>
      </c>
    </row>
    <row r="126" spans="1:9" ht="16.5" customHeight="1" hidden="1" outlineLevel="3">
      <c r="A126" s="60" t="s">
        <v>155</v>
      </c>
      <c r="B126" s="61" t="s">
        <v>39</v>
      </c>
      <c r="C126" s="61" t="s">
        <v>53</v>
      </c>
      <c r="D126" s="61" t="s">
        <v>13</v>
      </c>
      <c r="E126" s="62">
        <v>0</v>
      </c>
      <c r="F126" s="63">
        <v>300</v>
      </c>
      <c r="G126" s="99">
        <v>0</v>
      </c>
      <c r="H126" s="99">
        <v>0</v>
      </c>
      <c r="I126" s="65" t="e">
        <f t="shared" si="3"/>
        <v>#DIV/0!</v>
      </c>
    </row>
    <row r="127" spans="1:9" ht="15.75" outlineLevel="3">
      <c r="A127" s="60" t="s">
        <v>142</v>
      </c>
      <c r="B127" s="61" t="s">
        <v>39</v>
      </c>
      <c r="C127" s="61" t="s">
        <v>53</v>
      </c>
      <c r="D127" s="61" t="s">
        <v>13</v>
      </c>
      <c r="E127" s="62">
        <v>0</v>
      </c>
      <c r="F127" s="63">
        <v>800</v>
      </c>
      <c r="G127" s="99">
        <v>100</v>
      </c>
      <c r="H127" s="99">
        <v>0</v>
      </c>
      <c r="I127" s="65">
        <f t="shared" si="3"/>
        <v>0</v>
      </c>
    </row>
    <row r="128" spans="1:9" ht="36.75" customHeight="1" outlineLevel="3">
      <c r="A128" s="60" t="s">
        <v>325</v>
      </c>
      <c r="B128" s="61" t="s">
        <v>39</v>
      </c>
      <c r="C128" s="61" t="s">
        <v>53</v>
      </c>
      <c r="D128" s="61" t="s">
        <v>262</v>
      </c>
      <c r="E128" s="62">
        <v>0</v>
      </c>
      <c r="F128" s="63"/>
      <c r="G128" s="99">
        <f>SUM(G129:G131)</f>
        <v>8967.65512</v>
      </c>
      <c r="H128" s="99">
        <f>SUM(H129:H131)</f>
        <v>412.38800000000003</v>
      </c>
      <c r="I128" s="65">
        <f t="shared" si="3"/>
        <v>4.59861574159199</v>
      </c>
    </row>
    <row r="129" spans="1:9" ht="23.25" customHeight="1" outlineLevel="3">
      <c r="A129" s="60" t="s">
        <v>100</v>
      </c>
      <c r="B129" s="61" t="s">
        <v>39</v>
      </c>
      <c r="C129" s="61" t="s">
        <v>53</v>
      </c>
      <c r="D129" s="61" t="s">
        <v>262</v>
      </c>
      <c r="E129" s="62">
        <v>0</v>
      </c>
      <c r="F129" s="63">
        <v>200</v>
      </c>
      <c r="G129" s="99">
        <f>800-230</f>
        <v>570</v>
      </c>
      <c r="H129" s="99">
        <v>182.388</v>
      </c>
      <c r="I129" s="65">
        <f t="shared" si="3"/>
        <v>31.99789473684211</v>
      </c>
    </row>
    <row r="130" spans="1:9" ht="15.75" outlineLevel="3">
      <c r="A130" s="60" t="s">
        <v>156</v>
      </c>
      <c r="B130" s="61" t="s">
        <v>39</v>
      </c>
      <c r="C130" s="61" t="s">
        <v>53</v>
      </c>
      <c r="D130" s="61" t="s">
        <v>262</v>
      </c>
      <c r="E130" s="62">
        <v>0</v>
      </c>
      <c r="F130" s="63">
        <v>500</v>
      </c>
      <c r="G130" s="99">
        <f>230</f>
        <v>230</v>
      </c>
      <c r="H130" s="99">
        <v>230</v>
      </c>
      <c r="I130" s="65">
        <f t="shared" si="3"/>
        <v>100</v>
      </c>
    </row>
    <row r="131" spans="1:9" ht="18.75" customHeight="1" outlineLevel="1">
      <c r="A131" s="60" t="s">
        <v>340</v>
      </c>
      <c r="B131" s="61" t="s">
        <v>39</v>
      </c>
      <c r="C131" s="61" t="s">
        <v>53</v>
      </c>
      <c r="D131" s="61" t="s">
        <v>262</v>
      </c>
      <c r="E131" s="62">
        <v>0</v>
      </c>
      <c r="F131" s="63"/>
      <c r="G131" s="99">
        <f>SUM(G132:G133)</f>
        <v>8167.65512</v>
      </c>
      <c r="H131" s="99">
        <f>SUM(H133)</f>
        <v>0</v>
      </c>
      <c r="I131" s="65">
        <f t="shared" si="3"/>
        <v>0</v>
      </c>
    </row>
    <row r="132" spans="1:9" ht="39.75" customHeight="1" outlineLevel="1">
      <c r="A132" s="60" t="s">
        <v>338</v>
      </c>
      <c r="B132" s="61" t="s">
        <v>39</v>
      </c>
      <c r="C132" s="61" t="s">
        <v>53</v>
      </c>
      <c r="D132" s="61" t="s">
        <v>262</v>
      </c>
      <c r="E132" s="62">
        <v>0</v>
      </c>
      <c r="F132" s="63">
        <v>200</v>
      </c>
      <c r="G132" s="99">
        <f>2191.7+4859.40012</f>
        <v>7051.10012</v>
      </c>
      <c r="H132" s="99">
        <v>0</v>
      </c>
      <c r="I132" s="65">
        <f t="shared" si="3"/>
        <v>0</v>
      </c>
    </row>
    <row r="133" spans="1:9" ht="29.25" customHeight="1" outlineLevel="1">
      <c r="A133" s="60" t="s">
        <v>339</v>
      </c>
      <c r="B133" s="61" t="s">
        <v>39</v>
      </c>
      <c r="C133" s="61" t="s">
        <v>53</v>
      </c>
      <c r="D133" s="61" t="s">
        <v>262</v>
      </c>
      <c r="E133" s="62">
        <v>0</v>
      </c>
      <c r="F133" s="63">
        <v>200</v>
      </c>
      <c r="G133" s="99">
        <f>1116.555</f>
        <v>1116.555</v>
      </c>
      <c r="H133" s="99">
        <v>0</v>
      </c>
      <c r="I133" s="65">
        <f t="shared" si="3"/>
        <v>0</v>
      </c>
    </row>
    <row r="134" spans="1:9" ht="13.5" customHeight="1" outlineLevel="1">
      <c r="A134" s="60" t="s">
        <v>55</v>
      </c>
      <c r="B134" s="61" t="s">
        <v>39</v>
      </c>
      <c r="C134" s="61" t="s">
        <v>56</v>
      </c>
      <c r="D134" s="61"/>
      <c r="E134" s="62"/>
      <c r="F134" s="63"/>
      <c r="G134" s="99">
        <f>SUM(G135+G148)</f>
        <v>26249.151289999998</v>
      </c>
      <c r="H134" s="99">
        <f>SUM(H135+H148)</f>
        <v>11134.357919999999</v>
      </c>
      <c r="I134" s="65">
        <f t="shared" si="3"/>
        <v>42.41797304982503</v>
      </c>
    </row>
    <row r="135" spans="1:9" ht="15.75" outlineLevel="1">
      <c r="A135" s="60" t="s">
        <v>54</v>
      </c>
      <c r="B135" s="61" t="s">
        <v>39</v>
      </c>
      <c r="C135" s="61" t="s">
        <v>57</v>
      </c>
      <c r="D135" s="61"/>
      <c r="E135" s="62"/>
      <c r="F135" s="63"/>
      <c r="G135" s="99">
        <f>SUM(G136+G145+G143)</f>
        <v>18943.76429</v>
      </c>
      <c r="H135" s="99">
        <f>SUM(H136+H145+H143)</f>
        <v>4838.97092</v>
      </c>
      <c r="I135" s="65">
        <f t="shared" si="3"/>
        <v>25.543872093860394</v>
      </c>
    </row>
    <row r="136" spans="1:9" ht="36" outlineLevel="1">
      <c r="A136" s="60" t="s">
        <v>326</v>
      </c>
      <c r="B136" s="61" t="s">
        <v>39</v>
      </c>
      <c r="C136" s="61" t="s">
        <v>57</v>
      </c>
      <c r="D136" s="61" t="s">
        <v>6</v>
      </c>
      <c r="E136" s="62">
        <v>0</v>
      </c>
      <c r="F136" s="63"/>
      <c r="G136" s="99">
        <f>SUM(G137+G141)</f>
        <v>14400.46429</v>
      </c>
      <c r="H136" s="99">
        <f>SUM(H137+H141)</f>
        <v>2014.3531699999999</v>
      </c>
      <c r="I136" s="65">
        <f t="shared" si="3"/>
        <v>13.98811267077556</v>
      </c>
    </row>
    <row r="137" spans="1:9" ht="34.5" customHeight="1" outlineLevel="2">
      <c r="A137" s="60" t="s">
        <v>183</v>
      </c>
      <c r="B137" s="61" t="s">
        <v>39</v>
      </c>
      <c r="C137" s="61" t="s">
        <v>57</v>
      </c>
      <c r="D137" s="61" t="s">
        <v>6</v>
      </c>
      <c r="E137" s="62">
        <v>1</v>
      </c>
      <c r="F137" s="63"/>
      <c r="G137" s="99">
        <f>SUM(G138:G140)</f>
        <v>6400.46429</v>
      </c>
      <c r="H137" s="99">
        <f>SUM(H138:H140)</f>
        <v>2014.3531699999999</v>
      </c>
      <c r="I137" s="65">
        <f t="shared" si="3"/>
        <v>31.471985136253295</v>
      </c>
    </row>
    <row r="138" spans="1:9" ht="28.5" customHeight="1" outlineLevel="5">
      <c r="A138" s="60" t="s">
        <v>100</v>
      </c>
      <c r="B138" s="61" t="s">
        <v>39</v>
      </c>
      <c r="C138" s="61" t="s">
        <v>57</v>
      </c>
      <c r="D138" s="61" t="s">
        <v>6</v>
      </c>
      <c r="E138" s="62">
        <v>1</v>
      </c>
      <c r="F138" s="63">
        <v>200</v>
      </c>
      <c r="G138" s="99">
        <f>205+3.78721+71.35465-24.12201</f>
        <v>256.01985</v>
      </c>
      <c r="H138" s="99">
        <v>256.01985</v>
      </c>
      <c r="I138" s="65">
        <f aca="true" t="shared" si="6" ref="I138:I201">SUM(H138/G138)*100</f>
        <v>100</v>
      </c>
    </row>
    <row r="139" spans="1:9" ht="28.5" customHeight="1" outlineLevel="5">
      <c r="A139" s="60" t="s">
        <v>317</v>
      </c>
      <c r="B139" s="61" t="s">
        <v>39</v>
      </c>
      <c r="C139" s="61" t="s">
        <v>57</v>
      </c>
      <c r="D139" s="61" t="s">
        <v>6</v>
      </c>
      <c r="E139" s="62">
        <v>1</v>
      </c>
      <c r="F139" s="63">
        <v>500</v>
      </c>
      <c r="G139" s="99">
        <f>4000+444.44444</f>
        <v>4444.44444</v>
      </c>
      <c r="H139" s="99">
        <v>1333.33332</v>
      </c>
      <c r="I139" s="65">
        <f t="shared" si="6"/>
        <v>29.99999973</v>
      </c>
    </row>
    <row r="140" spans="1:9" ht="15.75" customHeight="1" outlineLevel="2">
      <c r="A140" s="60" t="s">
        <v>156</v>
      </c>
      <c r="B140" s="61" t="s">
        <v>39</v>
      </c>
      <c r="C140" s="61" t="s">
        <v>57</v>
      </c>
      <c r="D140" s="61" t="s">
        <v>6</v>
      </c>
      <c r="E140" s="62">
        <v>1</v>
      </c>
      <c r="F140" s="63">
        <v>500</v>
      </c>
      <c r="G140" s="99">
        <v>1700</v>
      </c>
      <c r="H140" s="99">
        <v>425</v>
      </c>
      <c r="I140" s="65">
        <f t="shared" si="6"/>
        <v>25</v>
      </c>
    </row>
    <row r="141" spans="1:9" ht="24" outlineLevel="2">
      <c r="A141" s="60" t="s">
        <v>201</v>
      </c>
      <c r="B141" s="61" t="s">
        <v>39</v>
      </c>
      <c r="C141" s="61" t="s">
        <v>57</v>
      </c>
      <c r="D141" s="61" t="s">
        <v>6</v>
      </c>
      <c r="E141" s="62">
        <v>3</v>
      </c>
      <c r="F141" s="63"/>
      <c r="G141" s="99">
        <f>SUM(G142)</f>
        <v>8000</v>
      </c>
      <c r="H141" s="99">
        <f>SUM(H142)</f>
        <v>0</v>
      </c>
      <c r="I141" s="65">
        <f t="shared" si="6"/>
        <v>0</v>
      </c>
    </row>
    <row r="142" spans="1:9" ht="24" outlineLevel="2">
      <c r="A142" s="60" t="s">
        <v>157</v>
      </c>
      <c r="B142" s="61" t="s">
        <v>39</v>
      </c>
      <c r="C142" s="61" t="s">
        <v>57</v>
      </c>
      <c r="D142" s="61" t="s">
        <v>6</v>
      </c>
      <c r="E142" s="62">
        <v>3</v>
      </c>
      <c r="F142" s="63">
        <v>400</v>
      </c>
      <c r="G142" s="99">
        <v>8000</v>
      </c>
      <c r="H142" s="99">
        <v>0</v>
      </c>
      <c r="I142" s="65">
        <f t="shared" si="6"/>
        <v>0</v>
      </c>
    </row>
    <row r="143" spans="1:9" ht="48" outlineLevel="5">
      <c r="A143" s="60" t="s">
        <v>335</v>
      </c>
      <c r="B143" s="61" t="s">
        <v>39</v>
      </c>
      <c r="C143" s="61" t="s">
        <v>57</v>
      </c>
      <c r="D143" s="61" t="s">
        <v>14</v>
      </c>
      <c r="E143" s="62">
        <v>0</v>
      </c>
      <c r="F143" s="63"/>
      <c r="G143" s="99">
        <f>SUM(G144)</f>
        <v>4525</v>
      </c>
      <c r="H143" s="99">
        <f>SUM(H144)</f>
        <v>2806.31775</v>
      </c>
      <c r="I143" s="65">
        <f t="shared" si="6"/>
        <v>62.01807182320442</v>
      </c>
    </row>
    <row r="144" spans="1:9" ht="24" outlineLevel="5">
      <c r="A144" s="60" t="s">
        <v>154</v>
      </c>
      <c r="B144" s="61" t="s">
        <v>39</v>
      </c>
      <c r="C144" s="61" t="s">
        <v>57</v>
      </c>
      <c r="D144" s="61" t="s">
        <v>14</v>
      </c>
      <c r="E144" s="62">
        <v>0</v>
      </c>
      <c r="F144" s="63">
        <v>600</v>
      </c>
      <c r="G144" s="99">
        <f>4000+325+200</f>
        <v>4525</v>
      </c>
      <c r="H144" s="99">
        <v>2806.31775</v>
      </c>
      <c r="I144" s="65">
        <f t="shared" si="6"/>
        <v>62.01807182320442</v>
      </c>
    </row>
    <row r="145" spans="1:9" ht="49.5" customHeight="1" outlineLevel="5">
      <c r="A145" s="60" t="s">
        <v>242</v>
      </c>
      <c r="B145" s="61" t="s">
        <v>39</v>
      </c>
      <c r="C145" s="61" t="s">
        <v>57</v>
      </c>
      <c r="D145" s="61"/>
      <c r="E145" s="62"/>
      <c r="F145" s="63"/>
      <c r="G145" s="99">
        <f>SUM(G146)</f>
        <v>18.3</v>
      </c>
      <c r="H145" s="99">
        <f>SUM(H146)</f>
        <v>18.3</v>
      </c>
      <c r="I145" s="65">
        <f t="shared" si="6"/>
        <v>100</v>
      </c>
    </row>
    <row r="146" spans="1:9" ht="24" outlineLevel="5">
      <c r="A146" s="60" t="s">
        <v>153</v>
      </c>
      <c r="B146" s="61" t="s">
        <v>39</v>
      </c>
      <c r="C146" s="61" t="s">
        <v>57</v>
      </c>
      <c r="D146" s="61" t="s">
        <v>16</v>
      </c>
      <c r="E146" s="62">
        <v>0</v>
      </c>
      <c r="F146" s="63"/>
      <c r="G146" s="99">
        <f>SUM(G147)</f>
        <v>18.3</v>
      </c>
      <c r="H146" s="99">
        <f>SUM(H147)</f>
        <v>18.3</v>
      </c>
      <c r="I146" s="65">
        <f t="shared" si="6"/>
        <v>100</v>
      </c>
    </row>
    <row r="147" spans="1:9" ht="15.75" outlineLevel="5">
      <c r="A147" s="60" t="s">
        <v>142</v>
      </c>
      <c r="B147" s="61" t="s">
        <v>39</v>
      </c>
      <c r="C147" s="61" t="s">
        <v>57</v>
      </c>
      <c r="D147" s="61" t="s">
        <v>16</v>
      </c>
      <c r="E147" s="62">
        <v>0</v>
      </c>
      <c r="F147" s="63">
        <v>800</v>
      </c>
      <c r="G147" s="99">
        <v>18.3</v>
      </c>
      <c r="H147" s="99">
        <v>18.3</v>
      </c>
      <c r="I147" s="65">
        <f t="shared" si="6"/>
        <v>100</v>
      </c>
    </row>
    <row r="148" spans="1:9" ht="15.75" outlineLevel="5">
      <c r="A148" s="60" t="s">
        <v>133</v>
      </c>
      <c r="B148" s="61" t="s">
        <v>39</v>
      </c>
      <c r="C148" s="61" t="s">
        <v>132</v>
      </c>
      <c r="D148" s="61"/>
      <c r="E148" s="62"/>
      <c r="F148" s="63"/>
      <c r="G148" s="99">
        <f>SUM(G149+G152)</f>
        <v>7305.387</v>
      </c>
      <c r="H148" s="99">
        <f>SUM(H149+H152)</f>
        <v>6295.387</v>
      </c>
      <c r="I148" s="65">
        <f t="shared" si="6"/>
        <v>86.17458595964868</v>
      </c>
    </row>
    <row r="149" spans="1:9" ht="24" outlineLevel="5">
      <c r="A149" s="60" t="s">
        <v>153</v>
      </c>
      <c r="B149" s="61" t="s">
        <v>39</v>
      </c>
      <c r="C149" s="61" t="s">
        <v>132</v>
      </c>
      <c r="D149" s="61" t="s">
        <v>16</v>
      </c>
      <c r="E149" s="62">
        <v>0</v>
      </c>
      <c r="F149" s="63"/>
      <c r="G149" s="99">
        <f>SUM(G150:G151)</f>
        <v>4599.2</v>
      </c>
      <c r="H149" s="99">
        <f>SUM(H150:H151)</f>
        <v>3589.2</v>
      </c>
      <c r="I149" s="65">
        <f t="shared" si="6"/>
        <v>78.03965907114281</v>
      </c>
    </row>
    <row r="150" spans="1:9" ht="36" outlineLevel="5">
      <c r="A150" s="60" t="s">
        <v>345</v>
      </c>
      <c r="B150" s="61" t="s">
        <v>39</v>
      </c>
      <c r="C150" s="61" t="s">
        <v>132</v>
      </c>
      <c r="D150" s="61" t="s">
        <v>16</v>
      </c>
      <c r="E150" s="62">
        <v>0</v>
      </c>
      <c r="F150" s="63">
        <v>500</v>
      </c>
      <c r="G150" s="99">
        <v>4339.2</v>
      </c>
      <c r="H150" s="99">
        <v>3589.2</v>
      </c>
      <c r="I150" s="65">
        <f t="shared" si="6"/>
        <v>82.71570796460178</v>
      </c>
    </row>
    <row r="151" spans="1:9" ht="36" outlineLevel="5">
      <c r="A151" s="60" t="s">
        <v>346</v>
      </c>
      <c r="B151" s="61" t="s">
        <v>39</v>
      </c>
      <c r="C151" s="61" t="s">
        <v>132</v>
      </c>
      <c r="D151" s="61" t="s">
        <v>16</v>
      </c>
      <c r="E151" s="62">
        <v>0</v>
      </c>
      <c r="F151" s="63">
        <v>500</v>
      </c>
      <c r="G151" s="99">
        <v>260</v>
      </c>
      <c r="H151" s="99">
        <v>0</v>
      </c>
      <c r="I151" s="65">
        <f t="shared" si="6"/>
        <v>0</v>
      </c>
    </row>
    <row r="152" spans="1:9" ht="24" outlineLevel="5">
      <c r="A152" s="60" t="s">
        <v>272</v>
      </c>
      <c r="B152" s="61" t="s">
        <v>39</v>
      </c>
      <c r="C152" s="61" t="s">
        <v>132</v>
      </c>
      <c r="D152" s="61" t="s">
        <v>12</v>
      </c>
      <c r="E152" s="62">
        <v>0</v>
      </c>
      <c r="F152" s="63"/>
      <c r="G152" s="99">
        <f>SUM(G153:G153)</f>
        <v>2706.187</v>
      </c>
      <c r="H152" s="99">
        <f>SUM(H153:H153)</f>
        <v>2706.187</v>
      </c>
      <c r="I152" s="65">
        <f t="shared" si="6"/>
        <v>100</v>
      </c>
    </row>
    <row r="153" spans="1:9" ht="24" outlineLevel="5">
      <c r="A153" s="60" t="s">
        <v>154</v>
      </c>
      <c r="B153" s="61" t="s">
        <v>39</v>
      </c>
      <c r="C153" s="61" t="s">
        <v>132</v>
      </c>
      <c r="D153" s="61" t="s">
        <v>12</v>
      </c>
      <c r="E153" s="62">
        <v>0</v>
      </c>
      <c r="F153" s="63">
        <v>600</v>
      </c>
      <c r="G153" s="99">
        <f>1999.9+706.287</f>
        <v>2706.187</v>
      </c>
      <c r="H153" s="99">
        <v>2706.187</v>
      </c>
      <c r="I153" s="65">
        <f t="shared" si="6"/>
        <v>100</v>
      </c>
    </row>
    <row r="154" spans="1:9" ht="15.75" outlineLevel="5">
      <c r="A154" s="60" t="s">
        <v>58</v>
      </c>
      <c r="B154" s="61" t="s">
        <v>39</v>
      </c>
      <c r="C154" s="61" t="s">
        <v>113</v>
      </c>
      <c r="D154" s="61"/>
      <c r="E154" s="62"/>
      <c r="F154" s="63"/>
      <c r="G154" s="99">
        <f>SUM(G155)</f>
        <v>20</v>
      </c>
      <c r="H154" s="99">
        <f>SUM(H155)</f>
        <v>0</v>
      </c>
      <c r="I154" s="65">
        <f t="shared" si="6"/>
        <v>0</v>
      </c>
    </row>
    <row r="155" spans="1:9" ht="27" customHeight="1" outlineLevel="5">
      <c r="A155" s="60" t="s">
        <v>244</v>
      </c>
      <c r="B155" s="61" t="s">
        <v>39</v>
      </c>
      <c r="C155" s="61" t="s">
        <v>60</v>
      </c>
      <c r="D155" s="61" t="s">
        <v>15</v>
      </c>
      <c r="E155" s="62">
        <v>0</v>
      </c>
      <c r="F155" s="63"/>
      <c r="G155" s="99">
        <f>SUM(G156:G157)</f>
        <v>20</v>
      </c>
      <c r="H155" s="99">
        <f>SUM(H156:H157)</f>
        <v>0</v>
      </c>
      <c r="I155" s="65">
        <f t="shared" si="6"/>
        <v>0</v>
      </c>
    </row>
    <row r="156" spans="1:9" ht="24.75" customHeight="1" outlineLevel="5">
      <c r="A156" s="60" t="s">
        <v>100</v>
      </c>
      <c r="B156" s="61" t="s">
        <v>39</v>
      </c>
      <c r="C156" s="61" t="s">
        <v>60</v>
      </c>
      <c r="D156" s="61" t="s">
        <v>15</v>
      </c>
      <c r="E156" s="62">
        <v>0</v>
      </c>
      <c r="F156" s="63">
        <v>200</v>
      </c>
      <c r="G156" s="99">
        <f>50-30</f>
        <v>20</v>
      </c>
      <c r="H156" s="99">
        <v>0</v>
      </c>
      <c r="I156" s="65">
        <f t="shared" si="6"/>
        <v>0</v>
      </c>
    </row>
    <row r="157" spans="1:9" ht="0.75" customHeight="1" hidden="1" outlineLevel="5">
      <c r="A157" s="60" t="s">
        <v>154</v>
      </c>
      <c r="B157" s="61" t="s">
        <v>39</v>
      </c>
      <c r="C157" s="61" t="s">
        <v>60</v>
      </c>
      <c r="D157" s="61" t="s">
        <v>15</v>
      </c>
      <c r="E157" s="62">
        <v>0</v>
      </c>
      <c r="F157" s="63">
        <v>600</v>
      </c>
      <c r="G157" s="99">
        <v>0</v>
      </c>
      <c r="H157" s="99">
        <v>0</v>
      </c>
      <c r="I157" s="65" t="e">
        <f t="shared" si="6"/>
        <v>#DIV/0!</v>
      </c>
    </row>
    <row r="158" spans="1:9" ht="18.75" customHeight="1" outlineLevel="5">
      <c r="A158" s="60" t="s">
        <v>61</v>
      </c>
      <c r="B158" s="61" t="s">
        <v>39</v>
      </c>
      <c r="C158" s="61" t="s">
        <v>64</v>
      </c>
      <c r="D158" s="61"/>
      <c r="E158" s="62"/>
      <c r="F158" s="63"/>
      <c r="G158" s="99">
        <f>SUM(G159+G181+G227+G243+G219)</f>
        <v>248470.90156999996</v>
      </c>
      <c r="H158" s="99">
        <f>SUM(H159+H181+H227+H243+H219)</f>
        <v>172064.57645999998</v>
      </c>
      <c r="I158" s="65">
        <f t="shared" si="6"/>
        <v>69.24938710037458</v>
      </c>
    </row>
    <row r="159" spans="1:9" ht="19.5" customHeight="1" outlineLevel="1">
      <c r="A159" s="60" t="s">
        <v>62</v>
      </c>
      <c r="B159" s="61" t="s">
        <v>39</v>
      </c>
      <c r="C159" s="61" t="s">
        <v>63</v>
      </c>
      <c r="D159" s="61"/>
      <c r="E159" s="62"/>
      <c r="F159" s="63"/>
      <c r="G159" s="99">
        <f>SUM(G160+G168+G166+G174)</f>
        <v>38430.17319</v>
      </c>
      <c r="H159" s="99">
        <f>SUM(H160+H168+H166+H174)</f>
        <v>24947.288940000002</v>
      </c>
      <c r="I159" s="65">
        <f t="shared" si="6"/>
        <v>64.91588996141083</v>
      </c>
    </row>
    <row r="160" spans="1:9" ht="24" customHeight="1" outlineLevel="2" collapsed="1">
      <c r="A160" s="60" t="s">
        <v>326</v>
      </c>
      <c r="B160" s="61" t="s">
        <v>39</v>
      </c>
      <c r="C160" s="61" t="s">
        <v>63</v>
      </c>
      <c r="D160" s="61" t="s">
        <v>6</v>
      </c>
      <c r="E160" s="62">
        <v>0</v>
      </c>
      <c r="F160" s="63"/>
      <c r="G160" s="99">
        <f>SUM(G161+G164)</f>
        <v>346.21279</v>
      </c>
      <c r="H160" s="99">
        <f>SUM(H161+H164)</f>
        <v>75.97429</v>
      </c>
      <c r="I160" s="65">
        <f t="shared" si="6"/>
        <v>21.94439148247527</v>
      </c>
    </row>
    <row r="161" spans="1:9" ht="32.25" customHeight="1" hidden="1" outlineLevel="3">
      <c r="A161" s="60" t="s">
        <v>201</v>
      </c>
      <c r="B161" s="61" t="s">
        <v>39</v>
      </c>
      <c r="C161" s="61" t="s">
        <v>63</v>
      </c>
      <c r="D161" s="61" t="s">
        <v>6</v>
      </c>
      <c r="E161" s="62">
        <v>3</v>
      </c>
      <c r="F161" s="63"/>
      <c r="G161" s="99">
        <f>SUM(G162:G163)</f>
        <v>0</v>
      </c>
      <c r="H161" s="99">
        <f>SUM(H162:H163)</f>
        <v>0</v>
      </c>
      <c r="I161" s="65" t="e">
        <f t="shared" si="6"/>
        <v>#DIV/0!</v>
      </c>
    </row>
    <row r="162" spans="1:9" ht="30" customHeight="1" hidden="1" outlineLevel="3">
      <c r="A162" s="60" t="s">
        <v>157</v>
      </c>
      <c r="B162" s="61" t="s">
        <v>39</v>
      </c>
      <c r="C162" s="61" t="s">
        <v>63</v>
      </c>
      <c r="D162" s="61" t="s">
        <v>6</v>
      </c>
      <c r="E162" s="62">
        <v>3</v>
      </c>
      <c r="F162" s="63">
        <v>400</v>
      </c>
      <c r="G162" s="99">
        <v>0</v>
      </c>
      <c r="H162" s="99">
        <v>0</v>
      </c>
      <c r="I162" s="65" t="e">
        <f t="shared" si="6"/>
        <v>#DIV/0!</v>
      </c>
    </row>
    <row r="163" spans="1:9" ht="24" hidden="1">
      <c r="A163" s="60" t="s">
        <v>154</v>
      </c>
      <c r="B163" s="61" t="s">
        <v>39</v>
      </c>
      <c r="C163" s="61" t="s">
        <v>63</v>
      </c>
      <c r="D163" s="61" t="s">
        <v>6</v>
      </c>
      <c r="E163" s="62">
        <v>3</v>
      </c>
      <c r="F163" s="63">
        <v>600</v>
      </c>
      <c r="G163" s="99">
        <v>0</v>
      </c>
      <c r="H163" s="99">
        <v>0</v>
      </c>
      <c r="I163" s="65" t="e">
        <f t="shared" si="6"/>
        <v>#DIV/0!</v>
      </c>
    </row>
    <row r="164" spans="1:9" ht="27" customHeight="1">
      <c r="A164" s="60" t="s">
        <v>184</v>
      </c>
      <c r="B164" s="61" t="s">
        <v>39</v>
      </c>
      <c r="C164" s="61" t="s">
        <v>63</v>
      </c>
      <c r="D164" s="61" t="s">
        <v>6</v>
      </c>
      <c r="E164" s="62">
        <v>4</v>
      </c>
      <c r="F164" s="63"/>
      <c r="G164" s="99">
        <f>SUM(G165:G165)</f>
        <v>346.21279</v>
      </c>
      <c r="H164" s="99">
        <f>SUM(H165:H165)</f>
        <v>75.97429</v>
      </c>
      <c r="I164" s="65">
        <f t="shared" si="6"/>
        <v>21.94439148247527</v>
      </c>
    </row>
    <row r="165" spans="1:9" ht="21.75" customHeight="1">
      <c r="A165" s="60" t="s">
        <v>154</v>
      </c>
      <c r="B165" s="61" t="s">
        <v>39</v>
      </c>
      <c r="C165" s="61" t="s">
        <v>63</v>
      </c>
      <c r="D165" s="61" t="s">
        <v>6</v>
      </c>
      <c r="E165" s="62">
        <v>4</v>
      </c>
      <c r="F165" s="63">
        <v>600</v>
      </c>
      <c r="G165" s="99">
        <f>350-3.78721</f>
        <v>346.21279</v>
      </c>
      <c r="H165" s="99">
        <v>75.97429</v>
      </c>
      <c r="I165" s="65">
        <f t="shared" si="6"/>
        <v>21.94439148247527</v>
      </c>
    </row>
    <row r="166" spans="1:9" ht="86.25" customHeight="1">
      <c r="A166" s="60" t="s">
        <v>238</v>
      </c>
      <c r="B166" s="61" t="s">
        <v>39</v>
      </c>
      <c r="C166" s="61" t="s">
        <v>63</v>
      </c>
      <c r="D166" s="61" t="s">
        <v>202</v>
      </c>
      <c r="E166" s="62">
        <v>0</v>
      </c>
      <c r="F166" s="63"/>
      <c r="G166" s="99">
        <f>SUM(G167:G167)</f>
        <v>148.6804</v>
      </c>
      <c r="H166" s="99">
        <f>SUM(H167:H167)</f>
        <v>35.7477</v>
      </c>
      <c r="I166" s="65">
        <f t="shared" si="6"/>
        <v>24.043317074745566</v>
      </c>
    </row>
    <row r="167" spans="1:9" ht="27" customHeight="1">
      <c r="A167" s="60" t="s">
        <v>154</v>
      </c>
      <c r="B167" s="61" t="s">
        <v>39</v>
      </c>
      <c r="C167" s="61" t="s">
        <v>63</v>
      </c>
      <c r="D167" s="61" t="s">
        <v>202</v>
      </c>
      <c r="E167" s="62">
        <v>0</v>
      </c>
      <c r="F167" s="63">
        <v>600</v>
      </c>
      <c r="G167" s="99">
        <f>165-16.3196</f>
        <v>148.6804</v>
      </c>
      <c r="H167" s="99">
        <v>35.7477</v>
      </c>
      <c r="I167" s="65">
        <f t="shared" si="6"/>
        <v>24.043317074745566</v>
      </c>
    </row>
    <row r="168" spans="1:9" ht="36" outlineLevel="5">
      <c r="A168" s="60" t="s">
        <v>327</v>
      </c>
      <c r="B168" s="61" t="s">
        <v>39</v>
      </c>
      <c r="C168" s="61" t="s">
        <v>63</v>
      </c>
      <c r="D168" s="61" t="s">
        <v>19</v>
      </c>
      <c r="E168" s="62">
        <v>0</v>
      </c>
      <c r="F168" s="63"/>
      <c r="G168" s="99">
        <f>SUM(G169:G173)</f>
        <v>24255.88</v>
      </c>
      <c r="H168" s="99">
        <f>SUM(H169:H173)</f>
        <v>16649.184200000003</v>
      </c>
      <c r="I168" s="65">
        <f t="shared" si="6"/>
        <v>68.63978631160775</v>
      </c>
    </row>
    <row r="169" spans="1:9" ht="24" outlineLevel="5">
      <c r="A169" s="60" t="s">
        <v>154</v>
      </c>
      <c r="B169" s="61" t="s">
        <v>39</v>
      </c>
      <c r="C169" s="61" t="s">
        <v>63</v>
      </c>
      <c r="D169" s="61" t="s">
        <v>19</v>
      </c>
      <c r="E169" s="62">
        <v>0</v>
      </c>
      <c r="F169" s="63">
        <v>600</v>
      </c>
      <c r="G169" s="99">
        <f>10500+457.08</f>
        <v>10957.08</v>
      </c>
      <c r="H169" s="99">
        <v>7170.01918</v>
      </c>
      <c r="I169" s="65">
        <f t="shared" si="6"/>
        <v>65.43731705892446</v>
      </c>
    </row>
    <row r="170" spans="1:9" ht="33.75" customHeight="1" outlineLevel="5">
      <c r="A170" s="60" t="s">
        <v>146</v>
      </c>
      <c r="B170" s="61" t="s">
        <v>39</v>
      </c>
      <c r="C170" s="61" t="s">
        <v>63</v>
      </c>
      <c r="D170" s="61" t="s">
        <v>19</v>
      </c>
      <c r="E170" s="62">
        <v>0</v>
      </c>
      <c r="F170" s="63">
        <v>600</v>
      </c>
      <c r="G170" s="99">
        <f>13257.6+16.9</f>
        <v>13274.5</v>
      </c>
      <c r="H170" s="99">
        <v>9462.76474</v>
      </c>
      <c r="I170" s="65">
        <f t="shared" si="6"/>
        <v>71.28528185619044</v>
      </c>
    </row>
    <row r="171" spans="1:9" ht="34.5" customHeight="1" hidden="1" outlineLevel="5">
      <c r="A171" s="60" t="s">
        <v>293</v>
      </c>
      <c r="B171" s="61" t="s">
        <v>39</v>
      </c>
      <c r="C171" s="61" t="s">
        <v>63</v>
      </c>
      <c r="D171" s="61" t="s">
        <v>19</v>
      </c>
      <c r="E171" s="62">
        <v>0</v>
      </c>
      <c r="F171" s="63">
        <v>600</v>
      </c>
      <c r="G171" s="99">
        <v>0</v>
      </c>
      <c r="H171" s="99">
        <v>0</v>
      </c>
      <c r="I171" s="65" t="e">
        <f t="shared" si="6"/>
        <v>#DIV/0!</v>
      </c>
    </row>
    <row r="172" spans="1:9" ht="29.25" customHeight="1" outlineLevel="5">
      <c r="A172" s="60" t="s">
        <v>158</v>
      </c>
      <c r="B172" s="61" t="s">
        <v>39</v>
      </c>
      <c r="C172" s="61" t="s">
        <v>63</v>
      </c>
      <c r="D172" s="61" t="s">
        <v>19</v>
      </c>
      <c r="E172" s="62">
        <v>0</v>
      </c>
      <c r="F172" s="63">
        <v>600</v>
      </c>
      <c r="G172" s="99">
        <f>14.1+10.2</f>
        <v>24.299999999999997</v>
      </c>
      <c r="H172" s="99">
        <v>16.40028</v>
      </c>
      <c r="I172" s="65">
        <f t="shared" si="6"/>
        <v>67.49086419753087</v>
      </c>
    </row>
    <row r="173" spans="1:9" ht="96" hidden="1" outlineLevel="5">
      <c r="A173" s="60" t="s">
        <v>266</v>
      </c>
      <c r="B173" s="61" t="s">
        <v>39</v>
      </c>
      <c r="C173" s="61" t="s">
        <v>63</v>
      </c>
      <c r="D173" s="61" t="s">
        <v>19</v>
      </c>
      <c r="E173" s="62">
        <v>0</v>
      </c>
      <c r="F173" s="63">
        <v>600</v>
      </c>
      <c r="G173" s="99">
        <v>0</v>
      </c>
      <c r="H173" s="99">
        <v>0</v>
      </c>
      <c r="I173" s="65" t="e">
        <f t="shared" si="6"/>
        <v>#DIV/0!</v>
      </c>
    </row>
    <row r="174" spans="1:9" ht="33" customHeight="1" outlineLevel="5">
      <c r="A174" s="60" t="s">
        <v>302</v>
      </c>
      <c r="B174" s="61" t="s">
        <v>39</v>
      </c>
      <c r="C174" s="61" t="s">
        <v>63</v>
      </c>
      <c r="D174" s="61" t="s">
        <v>20</v>
      </c>
      <c r="E174" s="62">
        <v>0</v>
      </c>
      <c r="F174" s="106"/>
      <c r="G174" s="104">
        <f>SUM(G175)</f>
        <v>13679.399999999998</v>
      </c>
      <c r="H174" s="104">
        <f>SUM(H175)</f>
        <v>8186.38275</v>
      </c>
      <c r="I174" s="65">
        <f t="shared" si="6"/>
        <v>59.84460392999694</v>
      </c>
    </row>
    <row r="175" spans="1:9" ht="15.75" outlineLevel="5">
      <c r="A175" s="60" t="s">
        <v>294</v>
      </c>
      <c r="B175" s="61" t="s">
        <v>39</v>
      </c>
      <c r="C175" s="61" t="s">
        <v>63</v>
      </c>
      <c r="D175" s="61" t="s">
        <v>20</v>
      </c>
      <c r="E175" s="62">
        <v>1</v>
      </c>
      <c r="F175" s="106"/>
      <c r="G175" s="104">
        <f>SUM(G176:G180)</f>
        <v>13679.399999999998</v>
      </c>
      <c r="H175" s="104">
        <f>SUM(H176:H180)</f>
        <v>8186.38275</v>
      </c>
      <c r="I175" s="65">
        <f t="shared" si="6"/>
        <v>59.84460392999694</v>
      </c>
    </row>
    <row r="176" spans="1:9" ht="63.75" customHeight="1" outlineLevel="5">
      <c r="A176" s="60" t="s">
        <v>228</v>
      </c>
      <c r="B176" s="61" t="s">
        <v>39</v>
      </c>
      <c r="C176" s="61" t="s">
        <v>63</v>
      </c>
      <c r="D176" s="61" t="s">
        <v>20</v>
      </c>
      <c r="E176" s="62">
        <v>1</v>
      </c>
      <c r="F176" s="63">
        <v>600</v>
      </c>
      <c r="G176" s="99">
        <f>9177.3-5.7</f>
        <v>9171.599999999999</v>
      </c>
      <c r="H176" s="99">
        <v>5651.71657</v>
      </c>
      <c r="I176" s="65">
        <f t="shared" si="6"/>
        <v>61.62192605434167</v>
      </c>
    </row>
    <row r="177" spans="1:9" ht="36" hidden="1" outlineLevel="5">
      <c r="A177" s="60" t="s">
        <v>293</v>
      </c>
      <c r="B177" s="61" t="s">
        <v>39</v>
      </c>
      <c r="C177" s="61" t="s">
        <v>63</v>
      </c>
      <c r="D177" s="61" t="s">
        <v>20</v>
      </c>
      <c r="E177" s="62">
        <v>1</v>
      </c>
      <c r="F177" s="63">
        <v>600</v>
      </c>
      <c r="G177" s="99">
        <v>0</v>
      </c>
      <c r="H177" s="99">
        <v>0</v>
      </c>
      <c r="I177" s="65" t="e">
        <f t="shared" si="6"/>
        <v>#DIV/0!</v>
      </c>
    </row>
    <row r="178" spans="1:9" ht="24.75" customHeight="1" outlineLevel="5">
      <c r="A178" s="60" t="s">
        <v>154</v>
      </c>
      <c r="B178" s="61" t="s">
        <v>39</v>
      </c>
      <c r="C178" s="61" t="s">
        <v>63</v>
      </c>
      <c r="D178" s="61" t="s">
        <v>20</v>
      </c>
      <c r="E178" s="62">
        <v>1</v>
      </c>
      <c r="F178" s="63">
        <v>600</v>
      </c>
      <c r="G178" s="99">
        <f>3300+63.3+108+350+686.5</f>
        <v>4507.8</v>
      </c>
      <c r="H178" s="99">
        <v>2534.66618</v>
      </c>
      <c r="I178" s="65">
        <f t="shared" si="6"/>
        <v>56.22845246018014</v>
      </c>
    </row>
    <row r="179" spans="1:9" ht="0.75" customHeight="1" hidden="1" outlineLevel="5">
      <c r="A179" s="60" t="s">
        <v>277</v>
      </c>
      <c r="B179" s="61" t="s">
        <v>39</v>
      </c>
      <c r="C179" s="61" t="s">
        <v>63</v>
      </c>
      <c r="D179" s="61" t="s">
        <v>20</v>
      </c>
      <c r="E179" s="62">
        <v>0</v>
      </c>
      <c r="F179" s="63">
        <v>600</v>
      </c>
      <c r="G179" s="99">
        <v>0</v>
      </c>
      <c r="H179" s="99">
        <v>0</v>
      </c>
      <c r="I179" s="65" t="e">
        <f t="shared" si="6"/>
        <v>#DIV/0!</v>
      </c>
    </row>
    <row r="180" spans="1:9" ht="44.25" customHeight="1" hidden="1" outlineLevel="5">
      <c r="A180" s="60" t="s">
        <v>285</v>
      </c>
      <c r="B180" s="61" t="s">
        <v>39</v>
      </c>
      <c r="C180" s="61" t="s">
        <v>63</v>
      </c>
      <c r="D180" s="61" t="s">
        <v>20</v>
      </c>
      <c r="E180" s="62">
        <v>0</v>
      </c>
      <c r="F180" s="63">
        <v>600</v>
      </c>
      <c r="G180" s="99">
        <v>0</v>
      </c>
      <c r="H180" s="99">
        <v>0</v>
      </c>
      <c r="I180" s="65" t="e">
        <f t="shared" si="6"/>
        <v>#DIV/0!</v>
      </c>
    </row>
    <row r="181" spans="1:9" ht="20.25" customHeight="1" outlineLevel="5">
      <c r="A181" s="60" t="s">
        <v>70</v>
      </c>
      <c r="B181" s="61" t="s">
        <v>39</v>
      </c>
      <c r="C181" s="61" t="s">
        <v>65</v>
      </c>
      <c r="D181" s="61"/>
      <c r="E181" s="62"/>
      <c r="F181" s="63"/>
      <c r="G181" s="104">
        <f>SUM(G182)</f>
        <v>191118.82837999996</v>
      </c>
      <c r="H181" s="104">
        <f>SUM(H182)</f>
        <v>134002.69155</v>
      </c>
      <c r="I181" s="65">
        <f t="shared" si="6"/>
        <v>70.1148561268718</v>
      </c>
    </row>
    <row r="182" spans="1:9" ht="23.25" customHeight="1" outlineLevel="5">
      <c r="A182" s="60" t="s">
        <v>66</v>
      </c>
      <c r="B182" s="61" t="s">
        <v>39</v>
      </c>
      <c r="C182" s="61" t="s">
        <v>65</v>
      </c>
      <c r="D182" s="61"/>
      <c r="E182" s="62"/>
      <c r="F182" s="63"/>
      <c r="G182" s="99">
        <f>SUM(G183+G197+G194+G191)</f>
        <v>191118.82837999996</v>
      </c>
      <c r="H182" s="99">
        <f>SUM(H183+H197+H194+H191)</f>
        <v>134002.69155</v>
      </c>
      <c r="I182" s="65">
        <f t="shared" si="6"/>
        <v>70.1148561268718</v>
      </c>
    </row>
    <row r="183" spans="1:9" ht="36" customHeight="1" outlineLevel="5">
      <c r="A183" s="60" t="s">
        <v>326</v>
      </c>
      <c r="B183" s="61" t="s">
        <v>39</v>
      </c>
      <c r="C183" s="61" t="s">
        <v>65</v>
      </c>
      <c r="D183" s="61" t="s">
        <v>6</v>
      </c>
      <c r="E183" s="62">
        <v>0</v>
      </c>
      <c r="F183" s="63"/>
      <c r="G183" s="99">
        <f>SUM(G184+G187)</f>
        <v>18195.997349999998</v>
      </c>
      <c r="H183" s="99">
        <f>SUM(H184+H187)</f>
        <v>9711.51491</v>
      </c>
      <c r="I183" s="65">
        <f t="shared" si="6"/>
        <v>53.37170985024353</v>
      </c>
    </row>
    <row r="184" spans="1:9" ht="22.5" customHeight="1" outlineLevel="5">
      <c r="A184" s="60" t="s">
        <v>201</v>
      </c>
      <c r="B184" s="61" t="s">
        <v>39</v>
      </c>
      <c r="C184" s="61" t="s">
        <v>65</v>
      </c>
      <c r="D184" s="61" t="s">
        <v>6</v>
      </c>
      <c r="E184" s="62">
        <v>3</v>
      </c>
      <c r="F184" s="63"/>
      <c r="G184" s="99">
        <f>SUM(G185:G186)</f>
        <v>16573.749289999996</v>
      </c>
      <c r="H184" s="99">
        <f>SUM(H185:H186)</f>
        <v>8532.28646</v>
      </c>
      <c r="I184" s="65">
        <f t="shared" si="6"/>
        <v>51.480726000531895</v>
      </c>
    </row>
    <row r="185" spans="1:9" ht="24" hidden="1" outlineLevel="5">
      <c r="A185" s="60" t="s">
        <v>100</v>
      </c>
      <c r="B185" s="61" t="s">
        <v>39</v>
      </c>
      <c r="C185" s="61" t="s">
        <v>65</v>
      </c>
      <c r="D185" s="61" t="s">
        <v>6</v>
      </c>
      <c r="E185" s="62">
        <v>3</v>
      </c>
      <c r="F185" s="63">
        <v>200</v>
      </c>
      <c r="G185" s="99">
        <v>0</v>
      </c>
      <c r="H185" s="99">
        <v>0</v>
      </c>
      <c r="I185" s="65" t="e">
        <f t="shared" si="6"/>
        <v>#DIV/0!</v>
      </c>
    </row>
    <row r="186" spans="1:9" ht="24" outlineLevel="5">
      <c r="A186" s="60" t="s">
        <v>154</v>
      </c>
      <c r="B186" s="61" t="s">
        <v>39</v>
      </c>
      <c r="C186" s="61" t="s">
        <v>65</v>
      </c>
      <c r="D186" s="61" t="s">
        <v>6</v>
      </c>
      <c r="E186" s="62">
        <v>3</v>
      </c>
      <c r="F186" s="63">
        <v>600</v>
      </c>
      <c r="G186" s="99">
        <f>5000+1000+5400+600.00001+939.9+19.18163+422.57682+1.19549+217.08+300-71.35465+340+353.66446+599+599+599+200+30.38352+24.12201</f>
        <v>16573.749289999996</v>
      </c>
      <c r="H186" s="99">
        <v>8532.28646</v>
      </c>
      <c r="I186" s="65">
        <f t="shared" si="6"/>
        <v>51.480726000531895</v>
      </c>
    </row>
    <row r="187" spans="1:9" ht="27" customHeight="1" outlineLevel="5">
      <c r="A187" s="60" t="s">
        <v>184</v>
      </c>
      <c r="B187" s="61" t="s">
        <v>39</v>
      </c>
      <c r="C187" s="61" t="s">
        <v>65</v>
      </c>
      <c r="D187" s="61" t="s">
        <v>6</v>
      </c>
      <c r="E187" s="62">
        <v>4</v>
      </c>
      <c r="F187" s="63"/>
      <c r="G187" s="99">
        <f>SUM(G188:G190)</f>
        <v>1622.24806</v>
      </c>
      <c r="H187" s="99">
        <f>SUM(H188:H190)</f>
        <v>1179.22845</v>
      </c>
      <c r="I187" s="65">
        <f t="shared" si="6"/>
        <v>72.6910069474825</v>
      </c>
    </row>
    <row r="188" spans="1:9" ht="24" customHeight="1" outlineLevel="5">
      <c r="A188" s="60" t="s">
        <v>100</v>
      </c>
      <c r="B188" s="61" t="s">
        <v>39</v>
      </c>
      <c r="C188" s="61" t="s">
        <v>65</v>
      </c>
      <c r="D188" s="61" t="s">
        <v>6</v>
      </c>
      <c r="E188" s="62">
        <v>4</v>
      </c>
      <c r="F188" s="63">
        <v>200</v>
      </c>
      <c r="G188" s="99">
        <v>60</v>
      </c>
      <c r="H188" s="99">
        <v>6.89</v>
      </c>
      <c r="I188" s="65">
        <f t="shared" si="6"/>
        <v>11.483333333333333</v>
      </c>
    </row>
    <row r="189" spans="1:9" ht="24" customHeight="1" outlineLevel="5">
      <c r="A189" s="60" t="s">
        <v>154</v>
      </c>
      <c r="B189" s="61" t="s">
        <v>39</v>
      </c>
      <c r="C189" s="61" t="s">
        <v>65</v>
      </c>
      <c r="D189" s="61" t="s">
        <v>6</v>
      </c>
      <c r="E189" s="62">
        <v>4</v>
      </c>
      <c r="F189" s="63">
        <v>600</v>
      </c>
      <c r="G189" s="99">
        <f>540-20-10.38352</f>
        <v>509.61648</v>
      </c>
      <c r="H189" s="99">
        <v>119.70687</v>
      </c>
      <c r="I189" s="65">
        <f t="shared" si="6"/>
        <v>23.48959947292128</v>
      </c>
    </row>
    <row r="190" spans="1:9" ht="51.75" customHeight="1" outlineLevel="5">
      <c r="A190" s="60" t="s">
        <v>276</v>
      </c>
      <c r="B190" s="61" t="s">
        <v>39</v>
      </c>
      <c r="C190" s="61" t="s">
        <v>65</v>
      </c>
      <c r="D190" s="61" t="s">
        <v>6</v>
      </c>
      <c r="E190" s="62">
        <v>4</v>
      </c>
      <c r="F190" s="63">
        <v>600</v>
      </c>
      <c r="G190" s="99">
        <f>1000+52.63158</f>
        <v>1052.63158</v>
      </c>
      <c r="H190" s="99">
        <v>1052.63158</v>
      </c>
      <c r="I190" s="65">
        <f t="shared" si="6"/>
        <v>100</v>
      </c>
    </row>
    <row r="191" spans="1:9" ht="28.5" customHeight="1" hidden="1" outlineLevel="5">
      <c r="A191" s="60" t="s">
        <v>245</v>
      </c>
      <c r="B191" s="61" t="s">
        <v>39</v>
      </c>
      <c r="C191" s="61" t="s">
        <v>65</v>
      </c>
      <c r="D191" s="61" t="s">
        <v>18</v>
      </c>
      <c r="E191" s="62">
        <v>0</v>
      </c>
      <c r="F191" s="63"/>
      <c r="G191" s="99">
        <f>SUM(G192:G193)</f>
        <v>0</v>
      </c>
      <c r="H191" s="99">
        <f>SUM(H192:H193)</f>
        <v>0</v>
      </c>
      <c r="I191" s="65" t="e">
        <f t="shared" si="6"/>
        <v>#DIV/0!</v>
      </c>
    </row>
    <row r="192" spans="1:9" ht="61.5" customHeight="1" hidden="1" outlineLevel="5">
      <c r="A192" s="60" t="s">
        <v>280</v>
      </c>
      <c r="B192" s="61" t="s">
        <v>39</v>
      </c>
      <c r="C192" s="61" t="s">
        <v>65</v>
      </c>
      <c r="D192" s="61" t="s">
        <v>18</v>
      </c>
      <c r="E192" s="62">
        <v>0</v>
      </c>
      <c r="F192" s="63">
        <v>600</v>
      </c>
      <c r="G192" s="99">
        <v>0</v>
      </c>
      <c r="H192" s="99">
        <v>0</v>
      </c>
      <c r="I192" s="65" t="e">
        <f t="shared" si="6"/>
        <v>#DIV/0!</v>
      </c>
    </row>
    <row r="193" spans="1:9" ht="0.75" customHeight="1" hidden="1" outlineLevel="5">
      <c r="A193" s="60" t="s">
        <v>281</v>
      </c>
      <c r="B193" s="61" t="s">
        <v>39</v>
      </c>
      <c r="C193" s="61" t="s">
        <v>65</v>
      </c>
      <c r="D193" s="61" t="s">
        <v>18</v>
      </c>
      <c r="E193" s="62">
        <v>0</v>
      </c>
      <c r="F193" s="63">
        <v>600</v>
      </c>
      <c r="G193" s="99">
        <v>0</v>
      </c>
      <c r="H193" s="99">
        <v>0</v>
      </c>
      <c r="I193" s="65" t="e">
        <f t="shared" si="6"/>
        <v>#DIV/0!</v>
      </c>
    </row>
    <row r="194" spans="1:9" ht="75" customHeight="1" outlineLevel="3">
      <c r="A194" s="60" t="s">
        <v>238</v>
      </c>
      <c r="B194" s="61" t="s">
        <v>39</v>
      </c>
      <c r="C194" s="61" t="s">
        <v>65</v>
      </c>
      <c r="D194" s="61" t="s">
        <v>202</v>
      </c>
      <c r="E194" s="62">
        <v>0</v>
      </c>
      <c r="F194" s="63"/>
      <c r="G194" s="99">
        <f>SUM(G195:G196)</f>
        <v>1101.8756</v>
      </c>
      <c r="H194" s="99">
        <f>SUM(H195:H196)</f>
        <v>386.56109000000004</v>
      </c>
      <c r="I194" s="65">
        <f t="shared" si="6"/>
        <v>35.08209910447241</v>
      </c>
    </row>
    <row r="195" spans="1:9" ht="27.75" customHeight="1" outlineLevel="3">
      <c r="A195" s="60" t="s">
        <v>100</v>
      </c>
      <c r="B195" s="61" t="s">
        <v>39</v>
      </c>
      <c r="C195" s="61" t="s">
        <v>65</v>
      </c>
      <c r="D195" s="61" t="s">
        <v>202</v>
      </c>
      <c r="E195" s="62">
        <v>0</v>
      </c>
      <c r="F195" s="63">
        <v>200</v>
      </c>
      <c r="G195" s="99">
        <f>42-4.252-0.00029</f>
        <v>37.74771</v>
      </c>
      <c r="H195" s="99">
        <v>13.9159</v>
      </c>
      <c r="I195" s="65">
        <f t="shared" si="6"/>
        <v>36.86554760540441</v>
      </c>
    </row>
    <row r="196" spans="1:9" ht="24" outlineLevel="3">
      <c r="A196" s="60" t="s">
        <v>154</v>
      </c>
      <c r="B196" s="61" t="s">
        <v>39</v>
      </c>
      <c r="C196" s="61" t="s">
        <v>65</v>
      </c>
      <c r="D196" s="61" t="s">
        <v>202</v>
      </c>
      <c r="E196" s="62">
        <v>0</v>
      </c>
      <c r="F196" s="63">
        <v>600</v>
      </c>
      <c r="G196" s="99">
        <f>1043.556+16.3196+4.252+0.00029</f>
        <v>1064.12789</v>
      </c>
      <c r="H196" s="99">
        <v>372.64519</v>
      </c>
      <c r="I196" s="65">
        <f t="shared" si="6"/>
        <v>35.018835001120024</v>
      </c>
    </row>
    <row r="197" spans="1:9" ht="25.5" customHeight="1" outlineLevel="3">
      <c r="A197" s="60" t="s">
        <v>302</v>
      </c>
      <c r="B197" s="61" t="s">
        <v>39</v>
      </c>
      <c r="C197" s="61" t="s">
        <v>65</v>
      </c>
      <c r="D197" s="61" t="s">
        <v>20</v>
      </c>
      <c r="E197" s="62">
        <v>0</v>
      </c>
      <c r="F197" s="106"/>
      <c r="G197" s="104">
        <f>SUM(G198)</f>
        <v>171820.95542999997</v>
      </c>
      <c r="H197" s="104">
        <f>SUM(H198)</f>
        <v>123904.61554999999</v>
      </c>
      <c r="I197" s="65">
        <f t="shared" si="6"/>
        <v>72.11263331641689</v>
      </c>
    </row>
    <row r="198" spans="1:9" ht="15.75" outlineLevel="3">
      <c r="A198" s="60" t="s">
        <v>295</v>
      </c>
      <c r="B198" s="61" t="s">
        <v>39</v>
      </c>
      <c r="C198" s="61" t="s">
        <v>65</v>
      </c>
      <c r="D198" s="61" t="s">
        <v>20</v>
      </c>
      <c r="E198" s="62">
        <v>2</v>
      </c>
      <c r="F198" s="106"/>
      <c r="G198" s="104">
        <f>SUM(G199+G206)</f>
        <v>171820.95542999997</v>
      </c>
      <c r="H198" s="104">
        <f>SUM(H199+H206)</f>
        <v>123904.61554999999</v>
      </c>
      <c r="I198" s="65">
        <f t="shared" si="6"/>
        <v>72.11263331641689</v>
      </c>
    </row>
    <row r="199" spans="1:9" ht="18" customHeight="1" outlineLevel="3">
      <c r="A199" s="60" t="s">
        <v>69</v>
      </c>
      <c r="B199" s="61" t="s">
        <v>39</v>
      </c>
      <c r="C199" s="61" t="s">
        <v>65</v>
      </c>
      <c r="D199" s="61" t="s">
        <v>20</v>
      </c>
      <c r="E199" s="62">
        <v>2</v>
      </c>
      <c r="F199" s="63"/>
      <c r="G199" s="99">
        <f>SUM(G200:G205)</f>
        <v>23691.800949999997</v>
      </c>
      <c r="H199" s="99">
        <f>SUM(H200:H205)</f>
        <v>13451.345050000002</v>
      </c>
      <c r="I199" s="65">
        <f t="shared" si="6"/>
        <v>56.77637203853008</v>
      </c>
    </row>
    <row r="200" spans="1:9" ht="47.25" customHeight="1" outlineLevel="3">
      <c r="A200" s="60" t="s">
        <v>99</v>
      </c>
      <c r="B200" s="61" t="s">
        <v>39</v>
      </c>
      <c r="C200" s="61" t="s">
        <v>65</v>
      </c>
      <c r="D200" s="61" t="s">
        <v>20</v>
      </c>
      <c r="E200" s="62">
        <v>2</v>
      </c>
      <c r="F200" s="63">
        <v>100</v>
      </c>
      <c r="G200" s="99">
        <f>200-120</f>
        <v>80</v>
      </c>
      <c r="H200" s="99">
        <v>13.56359</v>
      </c>
      <c r="I200" s="65">
        <f t="shared" si="6"/>
        <v>16.9544875</v>
      </c>
    </row>
    <row r="201" spans="1:9" ht="24" outlineLevel="3">
      <c r="A201" s="60" t="s">
        <v>100</v>
      </c>
      <c r="B201" s="61" t="s">
        <v>39</v>
      </c>
      <c r="C201" s="61" t="s">
        <v>65</v>
      </c>
      <c r="D201" s="61" t="s">
        <v>20</v>
      </c>
      <c r="E201" s="62">
        <v>2</v>
      </c>
      <c r="F201" s="63">
        <v>200</v>
      </c>
      <c r="G201" s="99">
        <v>600</v>
      </c>
      <c r="H201" s="99">
        <v>170.05318</v>
      </c>
      <c r="I201" s="65">
        <f t="shared" si="6"/>
        <v>28.342196666666663</v>
      </c>
    </row>
    <row r="202" spans="1:9" ht="48" outlineLevel="3">
      <c r="A202" s="60" t="s">
        <v>291</v>
      </c>
      <c r="B202" s="61" t="s">
        <v>39</v>
      </c>
      <c r="C202" s="61" t="s">
        <v>65</v>
      </c>
      <c r="D202" s="61" t="s">
        <v>20</v>
      </c>
      <c r="E202" s="62">
        <v>2</v>
      </c>
      <c r="F202" s="63">
        <v>200</v>
      </c>
      <c r="G202" s="99">
        <v>24.9</v>
      </c>
      <c r="H202" s="99">
        <v>12.50189</v>
      </c>
      <c r="I202" s="65">
        <f aca="true" t="shared" si="7" ref="I202:I265">SUM(H202/G202)*100</f>
        <v>50.2083935742972</v>
      </c>
    </row>
    <row r="203" spans="1:9" ht="15.75" outlineLevel="3">
      <c r="A203" s="60" t="s">
        <v>142</v>
      </c>
      <c r="B203" s="61" t="s">
        <v>39</v>
      </c>
      <c r="C203" s="61" t="s">
        <v>65</v>
      </c>
      <c r="D203" s="61" t="s">
        <v>20</v>
      </c>
      <c r="E203" s="62">
        <v>2</v>
      </c>
      <c r="F203" s="63">
        <v>800</v>
      </c>
      <c r="G203" s="99">
        <v>35</v>
      </c>
      <c r="H203" s="99">
        <v>20.12663</v>
      </c>
      <c r="I203" s="65">
        <f t="shared" si="7"/>
        <v>57.50465714285714</v>
      </c>
    </row>
    <row r="204" spans="1:9" ht="29.25" customHeight="1" outlineLevel="3">
      <c r="A204" s="60" t="s">
        <v>154</v>
      </c>
      <c r="B204" s="61" t="s">
        <v>39</v>
      </c>
      <c r="C204" s="61" t="s">
        <v>65</v>
      </c>
      <c r="D204" s="61" t="s">
        <v>20</v>
      </c>
      <c r="E204" s="62">
        <v>2</v>
      </c>
      <c r="F204" s="63">
        <v>600</v>
      </c>
      <c r="G204" s="99">
        <f>20500-108+362.92-350+546.8+55</f>
        <v>21006.719999999998</v>
      </c>
      <c r="H204" s="99">
        <v>12240.74306</v>
      </c>
      <c r="I204" s="65">
        <f t="shared" si="7"/>
        <v>58.27060607272341</v>
      </c>
    </row>
    <row r="205" spans="1:9" ht="52.5" customHeight="1" outlineLevel="3">
      <c r="A205" s="60" t="s">
        <v>313</v>
      </c>
      <c r="B205" s="61" t="s">
        <v>39</v>
      </c>
      <c r="C205" s="61" t="s">
        <v>65</v>
      </c>
      <c r="D205" s="61" t="s">
        <v>20</v>
      </c>
      <c r="E205" s="62">
        <v>2</v>
      </c>
      <c r="F205" s="63">
        <v>600</v>
      </c>
      <c r="G205" s="99">
        <f>1907.3+37.88095</f>
        <v>1945.18095</v>
      </c>
      <c r="H205" s="99">
        <v>994.3567</v>
      </c>
      <c r="I205" s="65">
        <f t="shared" si="7"/>
        <v>51.1189820155292</v>
      </c>
    </row>
    <row r="206" spans="1:9" ht="18.75" customHeight="1" outlineLevel="3">
      <c r="A206" s="60" t="s">
        <v>159</v>
      </c>
      <c r="B206" s="61" t="s">
        <v>39</v>
      </c>
      <c r="C206" s="61" t="s">
        <v>65</v>
      </c>
      <c r="D206" s="61" t="s">
        <v>20</v>
      </c>
      <c r="E206" s="62">
        <v>2</v>
      </c>
      <c r="F206" s="63"/>
      <c r="G206" s="99">
        <f>SUM(G207:G218)</f>
        <v>148129.15447999997</v>
      </c>
      <c r="H206" s="99">
        <f>SUM(H207:H218)</f>
        <v>110453.27049999998</v>
      </c>
      <c r="I206" s="65">
        <f t="shared" si="7"/>
        <v>74.56551742817994</v>
      </c>
    </row>
    <row r="207" spans="1:9" ht="46.5" customHeight="1" outlineLevel="3">
      <c r="A207" s="60" t="s">
        <v>99</v>
      </c>
      <c r="B207" s="61" t="s">
        <v>39</v>
      </c>
      <c r="C207" s="61" t="s">
        <v>65</v>
      </c>
      <c r="D207" s="61" t="s">
        <v>20</v>
      </c>
      <c r="E207" s="62">
        <v>2</v>
      </c>
      <c r="F207" s="63">
        <v>100</v>
      </c>
      <c r="G207" s="99">
        <f>3154.6+200+1074.3</f>
        <v>4428.9</v>
      </c>
      <c r="H207" s="99">
        <v>3077.19055</v>
      </c>
      <c r="I207" s="65">
        <f t="shared" si="7"/>
        <v>69.47979295084559</v>
      </c>
    </row>
    <row r="208" spans="1:9" ht="36" hidden="1" outlineLevel="3">
      <c r="A208" s="60" t="s">
        <v>292</v>
      </c>
      <c r="B208" s="61" t="s">
        <v>39</v>
      </c>
      <c r="C208" s="61" t="s">
        <v>65</v>
      </c>
      <c r="D208" s="61" t="s">
        <v>20</v>
      </c>
      <c r="E208" s="62">
        <v>2</v>
      </c>
      <c r="F208" s="63">
        <v>100</v>
      </c>
      <c r="G208" s="99">
        <v>0</v>
      </c>
      <c r="H208" s="99">
        <v>0</v>
      </c>
      <c r="I208" s="65" t="e">
        <f t="shared" si="7"/>
        <v>#DIV/0!</v>
      </c>
    </row>
    <row r="209" spans="1:9" ht="36" outlineLevel="3">
      <c r="A209" s="60" t="s">
        <v>287</v>
      </c>
      <c r="B209" s="61" t="s">
        <v>39</v>
      </c>
      <c r="C209" s="61" t="s">
        <v>65</v>
      </c>
      <c r="D209" s="61" t="s">
        <v>20</v>
      </c>
      <c r="E209" s="62">
        <v>2</v>
      </c>
      <c r="F209" s="63">
        <v>100</v>
      </c>
      <c r="G209" s="99">
        <v>546.8</v>
      </c>
      <c r="H209" s="99">
        <v>411.42193</v>
      </c>
      <c r="I209" s="65">
        <f t="shared" si="7"/>
        <v>75.24175749817118</v>
      </c>
    </row>
    <row r="210" spans="1:9" ht="27" customHeight="1" outlineLevel="3">
      <c r="A210" s="60" t="s">
        <v>100</v>
      </c>
      <c r="B210" s="61" t="s">
        <v>39</v>
      </c>
      <c r="C210" s="61" t="s">
        <v>65</v>
      </c>
      <c r="D210" s="61" t="s">
        <v>20</v>
      </c>
      <c r="E210" s="62">
        <v>2</v>
      </c>
      <c r="F210" s="63">
        <v>200</v>
      </c>
      <c r="G210" s="99">
        <f>174-128.8-14.816</f>
        <v>30.383999999999986</v>
      </c>
      <c r="H210" s="99">
        <v>30.109</v>
      </c>
      <c r="I210" s="65">
        <f t="shared" si="7"/>
        <v>99.0949183780938</v>
      </c>
    </row>
    <row r="211" spans="1:9" ht="16.5" customHeight="1" outlineLevel="3">
      <c r="A211" s="60" t="s">
        <v>68</v>
      </c>
      <c r="B211" s="61" t="s">
        <v>39</v>
      </c>
      <c r="C211" s="61" t="s">
        <v>65</v>
      </c>
      <c r="D211" s="61" t="s">
        <v>20</v>
      </c>
      <c r="E211" s="62">
        <v>2</v>
      </c>
      <c r="F211" s="63">
        <v>200</v>
      </c>
      <c r="G211" s="99">
        <v>47.6</v>
      </c>
      <c r="H211" s="99">
        <v>30.10573</v>
      </c>
      <c r="I211" s="65">
        <f t="shared" si="7"/>
        <v>63.24733193277311</v>
      </c>
    </row>
    <row r="212" spans="1:9" ht="34.5" customHeight="1" outlineLevel="3">
      <c r="A212" s="60" t="s">
        <v>290</v>
      </c>
      <c r="B212" s="61" t="s">
        <v>39</v>
      </c>
      <c r="C212" s="61" t="s">
        <v>65</v>
      </c>
      <c r="D212" s="61" t="s">
        <v>20</v>
      </c>
      <c r="E212" s="62">
        <v>2</v>
      </c>
      <c r="F212" s="63">
        <v>200</v>
      </c>
      <c r="G212" s="99">
        <v>76.2</v>
      </c>
      <c r="H212" s="99">
        <v>38.36015</v>
      </c>
      <c r="I212" s="65">
        <f t="shared" si="7"/>
        <v>50.34140419947506</v>
      </c>
    </row>
    <row r="213" spans="1:9" ht="48" outlineLevel="3">
      <c r="A213" s="60" t="s">
        <v>308</v>
      </c>
      <c r="B213" s="61" t="s">
        <v>39</v>
      </c>
      <c r="C213" s="61" t="s">
        <v>65</v>
      </c>
      <c r="D213" s="61" t="s">
        <v>20</v>
      </c>
      <c r="E213" s="62">
        <v>2</v>
      </c>
      <c r="F213" s="63">
        <v>600</v>
      </c>
      <c r="G213" s="99">
        <f>5922.5-76.2+122.39443</f>
        <v>5968.6944300000005</v>
      </c>
      <c r="H213" s="99">
        <v>3051.02945</v>
      </c>
      <c r="I213" s="65">
        <f t="shared" si="7"/>
        <v>51.117199678791394</v>
      </c>
    </row>
    <row r="214" spans="1:9" ht="15.75" customHeight="1" outlineLevel="3">
      <c r="A214" s="60" t="s">
        <v>67</v>
      </c>
      <c r="B214" s="61" t="s">
        <v>39</v>
      </c>
      <c r="C214" s="61" t="s">
        <v>65</v>
      </c>
      <c r="D214" s="61" t="s">
        <v>20</v>
      </c>
      <c r="E214" s="62">
        <v>2</v>
      </c>
      <c r="F214" s="63">
        <v>600</v>
      </c>
      <c r="G214" s="99">
        <f>97245.7-G207-G210+27443.4</f>
        <v>120229.81599999999</v>
      </c>
      <c r="H214" s="99">
        <v>91675.50098</v>
      </c>
      <c r="I214" s="65">
        <f t="shared" si="7"/>
        <v>76.25022147584423</v>
      </c>
    </row>
    <row r="215" spans="1:9" ht="1.5" customHeight="1" hidden="1" outlineLevel="3">
      <c r="A215" s="60" t="s">
        <v>293</v>
      </c>
      <c r="B215" s="61" t="s">
        <v>39</v>
      </c>
      <c r="C215" s="61" t="s">
        <v>65</v>
      </c>
      <c r="D215" s="61" t="s">
        <v>20</v>
      </c>
      <c r="E215" s="62">
        <v>2</v>
      </c>
      <c r="F215" s="63">
        <v>600</v>
      </c>
      <c r="G215" s="99">
        <v>0</v>
      </c>
      <c r="H215" s="99">
        <v>0</v>
      </c>
      <c r="I215" s="65" t="e">
        <f t="shared" si="7"/>
        <v>#DIV/0!</v>
      </c>
    </row>
    <row r="216" spans="1:9" ht="36" outlineLevel="3">
      <c r="A216" s="60" t="s">
        <v>287</v>
      </c>
      <c r="B216" s="61" t="s">
        <v>39</v>
      </c>
      <c r="C216" s="61" t="s">
        <v>65</v>
      </c>
      <c r="D216" s="61" t="s">
        <v>20</v>
      </c>
      <c r="E216" s="62">
        <v>2</v>
      </c>
      <c r="F216" s="63">
        <v>600</v>
      </c>
      <c r="G216" s="99">
        <f>11327.4-G209+923.96005</f>
        <v>11704.56005</v>
      </c>
      <c r="H216" s="99">
        <v>9603.53205</v>
      </c>
      <c r="I216" s="65">
        <f t="shared" si="7"/>
        <v>82.04949189867243</v>
      </c>
    </row>
    <row r="217" spans="1:9" ht="14.25" customHeight="1" outlineLevel="3">
      <c r="A217" s="60" t="s">
        <v>68</v>
      </c>
      <c r="B217" s="61" t="s">
        <v>39</v>
      </c>
      <c r="C217" s="61" t="s">
        <v>65</v>
      </c>
      <c r="D217" s="61" t="s">
        <v>20</v>
      </c>
      <c r="E217" s="62">
        <v>2</v>
      </c>
      <c r="F217" s="63">
        <v>600</v>
      </c>
      <c r="G217" s="99">
        <f>4986-G211</f>
        <v>4938.4</v>
      </c>
      <c r="H217" s="99">
        <v>2481.7904</v>
      </c>
      <c r="I217" s="65">
        <f t="shared" si="7"/>
        <v>50.254948971326755</v>
      </c>
    </row>
    <row r="218" spans="1:9" ht="24" customHeight="1" outlineLevel="3">
      <c r="A218" s="60" t="s">
        <v>158</v>
      </c>
      <c r="B218" s="61" t="s">
        <v>39</v>
      </c>
      <c r="C218" s="61" t="s">
        <v>65</v>
      </c>
      <c r="D218" s="61" t="s">
        <v>20</v>
      </c>
      <c r="E218" s="62">
        <v>2</v>
      </c>
      <c r="F218" s="63">
        <v>600</v>
      </c>
      <c r="G218" s="99">
        <f>168-10.2</f>
        <v>157.8</v>
      </c>
      <c r="H218" s="99">
        <v>54.23026</v>
      </c>
      <c r="I218" s="65">
        <f t="shared" si="7"/>
        <v>34.366451204055764</v>
      </c>
    </row>
    <row r="219" spans="1:9" ht="13.5" customHeight="1" outlineLevel="1">
      <c r="A219" s="60" t="s">
        <v>206</v>
      </c>
      <c r="B219" s="61" t="s">
        <v>39</v>
      </c>
      <c r="C219" s="61" t="s">
        <v>207</v>
      </c>
      <c r="D219" s="61"/>
      <c r="E219" s="62"/>
      <c r="F219" s="63"/>
      <c r="G219" s="99">
        <f>SUM(G223+G220)</f>
        <v>10300</v>
      </c>
      <c r="H219" s="99">
        <f>SUM(H223+H220)</f>
        <v>6941.40065</v>
      </c>
      <c r="I219" s="65">
        <f t="shared" si="7"/>
        <v>67.39223932038834</v>
      </c>
    </row>
    <row r="220" spans="1:9" ht="0.75" customHeight="1" hidden="1" outlineLevel="1">
      <c r="A220" s="60" t="s">
        <v>255</v>
      </c>
      <c r="B220" s="61" t="s">
        <v>39</v>
      </c>
      <c r="C220" s="61" t="s">
        <v>207</v>
      </c>
      <c r="D220" s="61" t="s">
        <v>6</v>
      </c>
      <c r="E220" s="62">
        <v>0</v>
      </c>
      <c r="F220" s="63"/>
      <c r="G220" s="99">
        <f>SUM(G221)</f>
        <v>0</v>
      </c>
      <c r="H220" s="99">
        <f>SUM(H221)</f>
        <v>0</v>
      </c>
      <c r="I220" s="65" t="e">
        <f t="shared" si="7"/>
        <v>#DIV/0!</v>
      </c>
    </row>
    <row r="221" spans="1:9" ht="24" hidden="1" outlineLevel="1">
      <c r="A221" s="60" t="s">
        <v>201</v>
      </c>
      <c r="B221" s="61" t="s">
        <v>39</v>
      </c>
      <c r="C221" s="61" t="s">
        <v>207</v>
      </c>
      <c r="D221" s="61" t="s">
        <v>6</v>
      </c>
      <c r="E221" s="62">
        <v>3</v>
      </c>
      <c r="F221" s="63"/>
      <c r="G221" s="99">
        <f>SUM(G222:G222)</f>
        <v>0</v>
      </c>
      <c r="H221" s="99">
        <f>SUM(H222:H222)</f>
        <v>0</v>
      </c>
      <c r="I221" s="65" t="e">
        <f t="shared" si="7"/>
        <v>#DIV/0!</v>
      </c>
    </row>
    <row r="222" spans="1:9" ht="24" hidden="1" outlineLevel="1">
      <c r="A222" s="60" t="s">
        <v>154</v>
      </c>
      <c r="B222" s="61" t="s">
        <v>39</v>
      </c>
      <c r="C222" s="61" t="s">
        <v>207</v>
      </c>
      <c r="D222" s="61" t="s">
        <v>6</v>
      </c>
      <c r="E222" s="62">
        <v>3</v>
      </c>
      <c r="F222" s="63">
        <v>600</v>
      </c>
      <c r="G222" s="99">
        <v>0</v>
      </c>
      <c r="H222" s="99">
        <v>0</v>
      </c>
      <c r="I222" s="65" t="e">
        <f t="shared" si="7"/>
        <v>#DIV/0!</v>
      </c>
    </row>
    <row r="223" spans="1:9" ht="28.5" customHeight="1" outlineLevel="1">
      <c r="A223" s="60" t="s">
        <v>302</v>
      </c>
      <c r="B223" s="61" t="s">
        <v>39</v>
      </c>
      <c r="C223" s="61" t="s">
        <v>207</v>
      </c>
      <c r="D223" s="61" t="s">
        <v>20</v>
      </c>
      <c r="E223" s="62">
        <v>0</v>
      </c>
      <c r="F223" s="63"/>
      <c r="G223" s="99">
        <f>SUM(G224)</f>
        <v>10300</v>
      </c>
      <c r="H223" s="99">
        <f>SUM(H224)</f>
        <v>6941.40065</v>
      </c>
      <c r="I223" s="65">
        <f t="shared" si="7"/>
        <v>67.39223932038834</v>
      </c>
    </row>
    <row r="224" spans="1:9" ht="20.25" customHeight="1" outlineLevel="1">
      <c r="A224" s="60" t="s">
        <v>296</v>
      </c>
      <c r="B224" s="61" t="s">
        <v>39</v>
      </c>
      <c r="C224" s="61" t="s">
        <v>207</v>
      </c>
      <c r="D224" s="61" t="s">
        <v>20</v>
      </c>
      <c r="E224" s="62">
        <v>3</v>
      </c>
      <c r="F224" s="63"/>
      <c r="G224" s="99">
        <f>SUM(G225:G226)</f>
        <v>10300</v>
      </c>
      <c r="H224" s="99">
        <f>SUM(H225:H226)</f>
        <v>6941.40065</v>
      </c>
      <c r="I224" s="65">
        <f t="shared" si="7"/>
        <v>67.39223932038834</v>
      </c>
    </row>
    <row r="225" spans="1:9" ht="28.5" customHeight="1" outlineLevel="1">
      <c r="A225" s="60" t="s">
        <v>307</v>
      </c>
      <c r="B225" s="61" t="s">
        <v>39</v>
      </c>
      <c r="C225" s="61" t="s">
        <v>207</v>
      </c>
      <c r="D225" s="61" t="s">
        <v>20</v>
      </c>
      <c r="E225" s="62">
        <v>3</v>
      </c>
      <c r="F225" s="63">
        <v>600</v>
      </c>
      <c r="G225" s="99">
        <v>6000</v>
      </c>
      <c r="H225" s="99">
        <v>3692.68015</v>
      </c>
      <c r="I225" s="65">
        <f t="shared" si="7"/>
        <v>61.544669166666665</v>
      </c>
    </row>
    <row r="226" spans="1:9" ht="24" customHeight="1" outlineLevel="1">
      <c r="A226" s="60" t="s">
        <v>306</v>
      </c>
      <c r="B226" s="61" t="s">
        <v>39</v>
      </c>
      <c r="C226" s="61" t="s">
        <v>207</v>
      </c>
      <c r="D226" s="61" t="s">
        <v>20</v>
      </c>
      <c r="E226" s="62">
        <v>3</v>
      </c>
      <c r="F226" s="63">
        <v>600</v>
      </c>
      <c r="G226" s="99">
        <v>4300</v>
      </c>
      <c r="H226" s="99">
        <v>3248.7205</v>
      </c>
      <c r="I226" s="65">
        <f t="shared" si="7"/>
        <v>75.55163953488372</v>
      </c>
    </row>
    <row r="227" spans="1:9" ht="15" customHeight="1" outlineLevel="1">
      <c r="A227" s="59" t="s">
        <v>300</v>
      </c>
      <c r="B227" s="61" t="s">
        <v>39</v>
      </c>
      <c r="C227" s="61" t="s">
        <v>71</v>
      </c>
      <c r="D227" s="61" t="s">
        <v>0</v>
      </c>
      <c r="E227" s="62" t="s">
        <v>0</v>
      </c>
      <c r="F227" s="63"/>
      <c r="G227" s="99">
        <f>SUM(G228+G237+G239)</f>
        <v>7326.9</v>
      </c>
      <c r="H227" s="99">
        <f>SUM(H228+H237+H239)</f>
        <v>5155.64546</v>
      </c>
      <c r="I227" s="65">
        <f t="shared" si="7"/>
        <v>70.36598643355308</v>
      </c>
    </row>
    <row r="228" spans="1:9" ht="60" outlineLevel="1">
      <c r="A228" s="59" t="s">
        <v>243</v>
      </c>
      <c r="B228" s="61" t="s">
        <v>39</v>
      </c>
      <c r="C228" s="61" t="s">
        <v>71</v>
      </c>
      <c r="D228" s="61" t="s">
        <v>24</v>
      </c>
      <c r="E228" s="62">
        <v>0</v>
      </c>
      <c r="F228" s="63"/>
      <c r="G228" s="99">
        <f>SUM(G229+G231+G233)</f>
        <v>60</v>
      </c>
      <c r="H228" s="99">
        <f>SUM(H229+H231+H233)</f>
        <v>31.6</v>
      </c>
      <c r="I228" s="65">
        <f t="shared" si="7"/>
        <v>52.66666666666667</v>
      </c>
    </row>
    <row r="229" spans="1:9" ht="24" customHeight="1" outlineLevel="3">
      <c r="A229" s="60" t="s">
        <v>160</v>
      </c>
      <c r="B229" s="61" t="s">
        <v>39</v>
      </c>
      <c r="C229" s="61" t="s">
        <v>71</v>
      </c>
      <c r="D229" s="61" t="s">
        <v>24</v>
      </c>
      <c r="E229" s="62">
        <v>1</v>
      </c>
      <c r="F229" s="63"/>
      <c r="G229" s="99">
        <f>SUM(G230)</f>
        <v>20</v>
      </c>
      <c r="H229" s="99">
        <f>SUM(H230)</f>
        <v>1.6</v>
      </c>
      <c r="I229" s="65">
        <f t="shared" si="7"/>
        <v>8</v>
      </c>
    </row>
    <row r="230" spans="1:9" ht="21.75" customHeight="1" outlineLevel="3">
      <c r="A230" s="60" t="s">
        <v>100</v>
      </c>
      <c r="B230" s="61" t="s">
        <v>39</v>
      </c>
      <c r="C230" s="61" t="s">
        <v>71</v>
      </c>
      <c r="D230" s="61" t="s">
        <v>24</v>
      </c>
      <c r="E230" s="62">
        <v>1</v>
      </c>
      <c r="F230" s="63">
        <v>200</v>
      </c>
      <c r="G230" s="99">
        <f>50-20-10</f>
        <v>20</v>
      </c>
      <c r="H230" s="99">
        <v>1.6</v>
      </c>
      <c r="I230" s="65">
        <f t="shared" si="7"/>
        <v>8</v>
      </c>
    </row>
    <row r="231" spans="1:9" s="15" customFormat="1" ht="29.25" customHeight="1" outlineLevel="2">
      <c r="A231" s="60" t="s">
        <v>161</v>
      </c>
      <c r="B231" s="61" t="s">
        <v>39</v>
      </c>
      <c r="C231" s="61" t="s">
        <v>71</v>
      </c>
      <c r="D231" s="61" t="s">
        <v>24</v>
      </c>
      <c r="E231" s="62">
        <v>2</v>
      </c>
      <c r="F231" s="63"/>
      <c r="G231" s="99">
        <f>SUM(G232:G232)</f>
        <v>30</v>
      </c>
      <c r="H231" s="99">
        <f>SUM(H232:H232)</f>
        <v>30</v>
      </c>
      <c r="I231" s="65">
        <f t="shared" si="7"/>
        <v>100</v>
      </c>
    </row>
    <row r="232" spans="1:9" s="15" customFormat="1" ht="27.75" customHeight="1" outlineLevel="2">
      <c r="A232" s="60" t="s">
        <v>100</v>
      </c>
      <c r="B232" s="61" t="s">
        <v>39</v>
      </c>
      <c r="C232" s="61" t="s">
        <v>71</v>
      </c>
      <c r="D232" s="61" t="s">
        <v>24</v>
      </c>
      <c r="E232" s="62">
        <v>2</v>
      </c>
      <c r="F232" s="63">
        <v>200</v>
      </c>
      <c r="G232" s="99">
        <f>100-60-10</f>
        <v>30</v>
      </c>
      <c r="H232" s="99">
        <v>30</v>
      </c>
      <c r="I232" s="65">
        <f t="shared" si="7"/>
        <v>100</v>
      </c>
    </row>
    <row r="233" spans="1:9" s="15" customFormat="1" ht="24.75" customHeight="1" outlineLevel="2">
      <c r="A233" s="60" t="s">
        <v>229</v>
      </c>
      <c r="B233" s="61" t="s">
        <v>39</v>
      </c>
      <c r="C233" s="61" t="s">
        <v>71</v>
      </c>
      <c r="D233" s="61" t="s">
        <v>24</v>
      </c>
      <c r="E233" s="62">
        <v>3</v>
      </c>
      <c r="F233" s="63"/>
      <c r="G233" s="99">
        <f>SUM(G234:G236)</f>
        <v>10</v>
      </c>
      <c r="H233" s="99">
        <f>SUM(H234:H236)</f>
        <v>0</v>
      </c>
      <c r="I233" s="65">
        <f t="shared" si="7"/>
        <v>0</v>
      </c>
    </row>
    <row r="234" spans="1:9" s="15" customFormat="1" ht="25.5" customHeight="1" outlineLevel="2">
      <c r="A234" s="60" t="s">
        <v>100</v>
      </c>
      <c r="B234" s="61" t="s">
        <v>39</v>
      </c>
      <c r="C234" s="61" t="s">
        <v>71</v>
      </c>
      <c r="D234" s="61" t="s">
        <v>24</v>
      </c>
      <c r="E234" s="62">
        <v>3</v>
      </c>
      <c r="F234" s="63">
        <v>200</v>
      </c>
      <c r="G234" s="99">
        <f>50-20-20</f>
        <v>10</v>
      </c>
      <c r="H234" s="99">
        <v>0</v>
      </c>
      <c r="I234" s="65">
        <f t="shared" si="7"/>
        <v>0</v>
      </c>
    </row>
    <row r="235" spans="1:9" s="15" customFormat="1" ht="24" hidden="1" outlineLevel="2">
      <c r="A235" s="60" t="s">
        <v>100</v>
      </c>
      <c r="B235" s="61" t="s">
        <v>39</v>
      </c>
      <c r="C235" s="61" t="s">
        <v>71</v>
      </c>
      <c r="D235" s="61" t="s">
        <v>24</v>
      </c>
      <c r="E235" s="62">
        <v>3</v>
      </c>
      <c r="F235" s="63">
        <v>200</v>
      </c>
      <c r="G235" s="99">
        <v>0</v>
      </c>
      <c r="H235" s="99">
        <v>0</v>
      </c>
      <c r="I235" s="65" t="e">
        <f t="shared" si="7"/>
        <v>#DIV/0!</v>
      </c>
    </row>
    <row r="236" spans="1:9" s="15" customFormat="1" ht="22.5" customHeight="1" hidden="1" outlineLevel="2">
      <c r="A236" s="60" t="s">
        <v>100</v>
      </c>
      <c r="B236" s="61" t="s">
        <v>39</v>
      </c>
      <c r="C236" s="61" t="s">
        <v>71</v>
      </c>
      <c r="D236" s="61" t="s">
        <v>24</v>
      </c>
      <c r="E236" s="62">
        <v>3</v>
      </c>
      <c r="F236" s="63">
        <v>200</v>
      </c>
      <c r="G236" s="99">
        <v>0</v>
      </c>
      <c r="H236" s="99">
        <v>0</v>
      </c>
      <c r="I236" s="65" t="e">
        <f t="shared" si="7"/>
        <v>#DIV/0!</v>
      </c>
    </row>
    <row r="237" spans="1:9" ht="35.25" customHeight="1" outlineLevel="3">
      <c r="A237" s="59" t="s">
        <v>328</v>
      </c>
      <c r="B237" s="61" t="s">
        <v>39</v>
      </c>
      <c r="C237" s="61" t="s">
        <v>71</v>
      </c>
      <c r="D237" s="61" t="s">
        <v>21</v>
      </c>
      <c r="E237" s="62">
        <v>0</v>
      </c>
      <c r="F237" s="63"/>
      <c r="G237" s="99">
        <f>SUM(G238)</f>
        <v>5100</v>
      </c>
      <c r="H237" s="99">
        <f>SUM(H238)</f>
        <v>3004.77096</v>
      </c>
      <c r="I237" s="65">
        <f t="shared" si="7"/>
        <v>58.917077647058825</v>
      </c>
    </row>
    <row r="238" spans="1:9" ht="22.5" customHeight="1" outlineLevel="2">
      <c r="A238" s="60" t="s">
        <v>154</v>
      </c>
      <c r="B238" s="61" t="s">
        <v>39</v>
      </c>
      <c r="C238" s="61" t="s">
        <v>71</v>
      </c>
      <c r="D238" s="61" t="s">
        <v>21</v>
      </c>
      <c r="E238" s="62">
        <v>0</v>
      </c>
      <c r="F238" s="63">
        <v>600</v>
      </c>
      <c r="G238" s="99">
        <v>5100</v>
      </c>
      <c r="H238" s="99">
        <v>3004.77096</v>
      </c>
      <c r="I238" s="65">
        <f t="shared" si="7"/>
        <v>58.917077647058825</v>
      </c>
    </row>
    <row r="239" spans="1:9" ht="15.75" outlineLevel="3">
      <c r="A239" s="59" t="s">
        <v>162</v>
      </c>
      <c r="B239" s="61" t="s">
        <v>39</v>
      </c>
      <c r="C239" s="61" t="s">
        <v>71</v>
      </c>
      <c r="D239" s="61" t="s">
        <v>16</v>
      </c>
      <c r="E239" s="62">
        <v>0</v>
      </c>
      <c r="F239" s="63"/>
      <c r="G239" s="99">
        <f>SUM(G240)</f>
        <v>2166.9</v>
      </c>
      <c r="H239" s="99">
        <f>SUM(H240)</f>
        <v>2119.2745</v>
      </c>
      <c r="I239" s="65">
        <f t="shared" si="7"/>
        <v>97.80213669297152</v>
      </c>
    </row>
    <row r="240" spans="1:9" ht="24" outlineLevel="3">
      <c r="A240" s="60" t="s">
        <v>153</v>
      </c>
      <c r="B240" s="61" t="s">
        <v>39</v>
      </c>
      <c r="C240" s="61" t="s">
        <v>71</v>
      </c>
      <c r="D240" s="61" t="s">
        <v>16</v>
      </c>
      <c r="E240" s="62">
        <v>0</v>
      </c>
      <c r="F240" s="63"/>
      <c r="G240" s="99">
        <f>SUM(G241:G242)</f>
        <v>2166.9</v>
      </c>
      <c r="H240" s="99">
        <f>SUM(H241:H242)</f>
        <v>2119.2745</v>
      </c>
      <c r="I240" s="65">
        <f t="shared" si="7"/>
        <v>97.80213669297152</v>
      </c>
    </row>
    <row r="241" spans="1:9" ht="36" outlineLevel="1">
      <c r="A241" s="59" t="s">
        <v>163</v>
      </c>
      <c r="B241" s="61" t="s">
        <v>39</v>
      </c>
      <c r="C241" s="61" t="s">
        <v>71</v>
      </c>
      <c r="D241" s="61" t="s">
        <v>16</v>
      </c>
      <c r="E241" s="62">
        <v>0</v>
      </c>
      <c r="F241" s="63">
        <v>600</v>
      </c>
      <c r="G241" s="99">
        <v>1950.2</v>
      </c>
      <c r="H241" s="99">
        <v>1907.337</v>
      </c>
      <c r="I241" s="65">
        <f t="shared" si="7"/>
        <v>97.80212285919393</v>
      </c>
    </row>
    <row r="242" spans="1:9" ht="25.5" customHeight="1" outlineLevel="1">
      <c r="A242" s="60" t="s">
        <v>154</v>
      </c>
      <c r="B242" s="61" t="s">
        <v>39</v>
      </c>
      <c r="C242" s="61" t="s">
        <v>71</v>
      </c>
      <c r="D242" s="61" t="s">
        <v>16</v>
      </c>
      <c r="E242" s="62">
        <v>0</v>
      </c>
      <c r="F242" s="63">
        <v>600</v>
      </c>
      <c r="G242" s="99">
        <v>216.7</v>
      </c>
      <c r="H242" s="99">
        <v>211.9375</v>
      </c>
      <c r="I242" s="65">
        <f t="shared" si="7"/>
        <v>97.80226119058607</v>
      </c>
    </row>
    <row r="243" spans="1:9" ht="17.25" customHeight="1" outlineLevel="1">
      <c r="A243" s="60" t="s">
        <v>72</v>
      </c>
      <c r="B243" s="61" t="s">
        <v>39</v>
      </c>
      <c r="C243" s="61" t="s">
        <v>73</v>
      </c>
      <c r="D243" s="61"/>
      <c r="E243" s="62"/>
      <c r="F243" s="63"/>
      <c r="G243" s="99">
        <f>SUM(G246+G244)</f>
        <v>1295</v>
      </c>
      <c r="H243" s="99">
        <f>SUM(H246+H244)</f>
        <v>1017.54986</v>
      </c>
      <c r="I243" s="65">
        <f t="shared" si="7"/>
        <v>78.57527876447877</v>
      </c>
    </row>
    <row r="244" spans="1:9" ht="60" hidden="1" outlineLevel="1">
      <c r="A244" s="60" t="s">
        <v>251</v>
      </c>
      <c r="B244" s="61" t="s">
        <v>39</v>
      </c>
      <c r="C244" s="61" t="s">
        <v>73</v>
      </c>
      <c r="D244" s="61" t="s">
        <v>203</v>
      </c>
      <c r="E244" s="62">
        <v>0</v>
      </c>
      <c r="F244" s="64"/>
      <c r="G244" s="99">
        <f>SUM(G245)</f>
        <v>0</v>
      </c>
      <c r="H244" s="99">
        <f>SUM(H245)</f>
        <v>0</v>
      </c>
      <c r="I244" s="65" t="e">
        <f t="shared" si="7"/>
        <v>#DIV/0!</v>
      </c>
    </row>
    <row r="245" spans="1:9" ht="0.75" customHeight="1" hidden="1" outlineLevel="1">
      <c r="A245" s="60" t="s">
        <v>155</v>
      </c>
      <c r="B245" s="61" t="s">
        <v>39</v>
      </c>
      <c r="C245" s="61" t="s">
        <v>73</v>
      </c>
      <c r="D245" s="61" t="s">
        <v>203</v>
      </c>
      <c r="E245" s="62">
        <v>0</v>
      </c>
      <c r="F245" s="64">
        <v>300</v>
      </c>
      <c r="G245" s="99">
        <f>20-20</f>
        <v>0</v>
      </c>
      <c r="H245" s="99">
        <v>0</v>
      </c>
      <c r="I245" s="65" t="e">
        <f t="shared" si="7"/>
        <v>#DIV/0!</v>
      </c>
    </row>
    <row r="246" spans="1:9" ht="44.25" customHeight="1" outlineLevel="1">
      <c r="A246" s="59" t="s">
        <v>329</v>
      </c>
      <c r="B246" s="61" t="s">
        <v>39</v>
      </c>
      <c r="C246" s="61" t="s">
        <v>73</v>
      </c>
      <c r="D246" s="61" t="s">
        <v>22</v>
      </c>
      <c r="E246" s="62">
        <v>0</v>
      </c>
      <c r="F246" s="63"/>
      <c r="G246" s="99">
        <f>SUM(G247:G249)</f>
        <v>1295</v>
      </c>
      <c r="H246" s="99">
        <f>SUM(H247:H249)</f>
        <v>1017.54986</v>
      </c>
      <c r="I246" s="65">
        <f t="shared" si="7"/>
        <v>78.57527876447877</v>
      </c>
    </row>
    <row r="247" spans="1:9" ht="23.25" customHeight="1" outlineLevel="1">
      <c r="A247" s="60" t="s">
        <v>99</v>
      </c>
      <c r="B247" s="61" t="s">
        <v>39</v>
      </c>
      <c r="C247" s="61" t="s">
        <v>73</v>
      </c>
      <c r="D247" s="61" t="s">
        <v>22</v>
      </c>
      <c r="E247" s="62">
        <v>0</v>
      </c>
      <c r="F247" s="63">
        <v>100</v>
      </c>
      <c r="G247" s="99">
        <f>570+470+200+0.2</f>
        <v>1240.2</v>
      </c>
      <c r="H247" s="99">
        <v>1017.54986</v>
      </c>
      <c r="I247" s="65">
        <f t="shared" si="7"/>
        <v>82.04723915497499</v>
      </c>
    </row>
    <row r="248" spans="1:9" ht="24" outlineLevel="1">
      <c r="A248" s="60" t="s">
        <v>100</v>
      </c>
      <c r="B248" s="61" t="s">
        <v>39</v>
      </c>
      <c r="C248" s="61" t="s">
        <v>73</v>
      </c>
      <c r="D248" s="61" t="s">
        <v>22</v>
      </c>
      <c r="E248" s="62">
        <v>0</v>
      </c>
      <c r="F248" s="63">
        <v>200</v>
      </c>
      <c r="G248" s="99">
        <v>54.8</v>
      </c>
      <c r="H248" s="99">
        <v>0</v>
      </c>
      <c r="I248" s="65">
        <f t="shared" si="7"/>
        <v>0</v>
      </c>
    </row>
    <row r="249" spans="1:9" ht="15.75" customHeight="1" hidden="1" outlineLevel="1">
      <c r="A249" s="60" t="s">
        <v>142</v>
      </c>
      <c r="B249" s="61" t="s">
        <v>39</v>
      </c>
      <c r="C249" s="61" t="s">
        <v>73</v>
      </c>
      <c r="D249" s="61" t="s">
        <v>22</v>
      </c>
      <c r="E249" s="62">
        <v>0</v>
      </c>
      <c r="F249" s="63">
        <v>800</v>
      </c>
      <c r="G249" s="99">
        <f>0.2-0.2</f>
        <v>0</v>
      </c>
      <c r="H249" s="99">
        <f>0.2-0.2</f>
        <v>0</v>
      </c>
      <c r="I249" s="65" t="e">
        <f t="shared" si="7"/>
        <v>#DIV/0!</v>
      </c>
    </row>
    <row r="250" spans="1:9" ht="15.75" outlineLevel="1">
      <c r="A250" s="60" t="s">
        <v>74</v>
      </c>
      <c r="B250" s="61" t="s">
        <v>39</v>
      </c>
      <c r="C250" s="61" t="s">
        <v>114</v>
      </c>
      <c r="D250" s="61"/>
      <c r="E250" s="62"/>
      <c r="F250" s="63"/>
      <c r="G250" s="99">
        <f>SUM(G251+G268+G270)</f>
        <v>12431.9</v>
      </c>
      <c r="H250" s="99">
        <f>SUM(H251+H268+H270)</f>
        <v>8769.388260000002</v>
      </c>
      <c r="I250" s="65">
        <f t="shared" si="7"/>
        <v>70.53940475711678</v>
      </c>
    </row>
    <row r="251" spans="1:9" ht="15" customHeight="1" outlineLevel="1">
      <c r="A251" s="60" t="s">
        <v>115</v>
      </c>
      <c r="B251" s="61" t="s">
        <v>39</v>
      </c>
      <c r="C251" s="61" t="s">
        <v>80</v>
      </c>
      <c r="D251" s="61"/>
      <c r="E251" s="62"/>
      <c r="F251" s="63"/>
      <c r="G251" s="99">
        <f>SUM(G252+G255+G257+G262+G264+G266+G259)</f>
        <v>11513.9</v>
      </c>
      <c r="H251" s="99">
        <f>SUM(H252+H255+H257+H262+H264+H266+H259)</f>
        <v>8203.60452</v>
      </c>
      <c r="I251" s="65">
        <f t="shared" si="7"/>
        <v>71.24957242984567</v>
      </c>
    </row>
    <row r="252" spans="1:9" ht="24" hidden="1" outlineLevel="1" collapsed="1">
      <c r="A252" s="60" t="s">
        <v>312</v>
      </c>
      <c r="B252" s="61" t="s">
        <v>39</v>
      </c>
      <c r="C252" s="61" t="s">
        <v>80</v>
      </c>
      <c r="D252" s="61" t="s">
        <v>309</v>
      </c>
      <c r="E252" s="62">
        <v>0</v>
      </c>
      <c r="F252" s="63"/>
      <c r="G252" s="99">
        <f>SUM(G253:G254)</f>
        <v>0</v>
      </c>
      <c r="H252" s="99">
        <f>SUM(H253:H254)</f>
        <v>0</v>
      </c>
      <c r="I252" s="65" t="e">
        <f t="shared" si="7"/>
        <v>#DIV/0!</v>
      </c>
    </row>
    <row r="253" spans="1:9" ht="24" hidden="1" outlineLevel="2">
      <c r="A253" s="60" t="s">
        <v>154</v>
      </c>
      <c r="B253" s="61" t="s">
        <v>39</v>
      </c>
      <c r="C253" s="61" t="s">
        <v>80</v>
      </c>
      <c r="D253" s="61" t="s">
        <v>309</v>
      </c>
      <c r="E253" s="62">
        <v>0</v>
      </c>
      <c r="F253" s="63">
        <v>600</v>
      </c>
      <c r="G253" s="99">
        <v>0</v>
      </c>
      <c r="H253" s="99">
        <v>0</v>
      </c>
      <c r="I253" s="65" t="e">
        <f t="shared" si="7"/>
        <v>#DIV/0!</v>
      </c>
    </row>
    <row r="254" spans="1:9" ht="108" hidden="1" outlineLevel="5">
      <c r="A254" s="60" t="s">
        <v>303</v>
      </c>
      <c r="B254" s="61" t="s">
        <v>39</v>
      </c>
      <c r="C254" s="61" t="s">
        <v>80</v>
      </c>
      <c r="D254" s="61" t="s">
        <v>309</v>
      </c>
      <c r="E254" s="62">
        <v>0</v>
      </c>
      <c r="F254" s="63">
        <v>600</v>
      </c>
      <c r="G254" s="99">
        <v>0</v>
      </c>
      <c r="H254" s="99">
        <v>0</v>
      </c>
      <c r="I254" s="65" t="e">
        <f t="shared" si="7"/>
        <v>#DIV/0!</v>
      </c>
    </row>
    <row r="255" spans="1:9" ht="25.5" customHeight="1" outlineLevel="1">
      <c r="A255" s="60" t="s">
        <v>256</v>
      </c>
      <c r="B255" s="61" t="s">
        <v>39</v>
      </c>
      <c r="C255" s="61" t="s">
        <v>80</v>
      </c>
      <c r="D255" s="61" t="s">
        <v>5</v>
      </c>
      <c r="E255" s="62">
        <v>0</v>
      </c>
      <c r="F255" s="64"/>
      <c r="G255" s="99">
        <f>SUM(G256)</f>
        <v>20</v>
      </c>
      <c r="H255" s="99">
        <f>SUM(H256)</f>
        <v>6.6</v>
      </c>
      <c r="I255" s="65">
        <f t="shared" si="7"/>
        <v>32.99999999999999</v>
      </c>
    </row>
    <row r="256" spans="1:9" ht="24" outlineLevel="2">
      <c r="A256" s="60" t="s">
        <v>154</v>
      </c>
      <c r="B256" s="61" t="s">
        <v>39</v>
      </c>
      <c r="C256" s="61" t="s">
        <v>80</v>
      </c>
      <c r="D256" s="61" t="s">
        <v>5</v>
      </c>
      <c r="E256" s="62">
        <v>0</v>
      </c>
      <c r="F256" s="64">
        <v>600</v>
      </c>
      <c r="G256" s="99">
        <f>50-30</f>
        <v>20</v>
      </c>
      <c r="H256" s="99">
        <v>6.6</v>
      </c>
      <c r="I256" s="65">
        <f t="shared" si="7"/>
        <v>32.99999999999999</v>
      </c>
    </row>
    <row r="257" spans="1:9" ht="24.75" customHeight="1" outlineLevel="5">
      <c r="A257" s="59" t="s">
        <v>248</v>
      </c>
      <c r="B257" s="61" t="s">
        <v>39</v>
      </c>
      <c r="C257" s="61" t="s">
        <v>80</v>
      </c>
      <c r="D257" s="61" t="s">
        <v>4</v>
      </c>
      <c r="E257" s="62">
        <v>0</v>
      </c>
      <c r="F257" s="64"/>
      <c r="G257" s="99">
        <f>SUM(G258)</f>
        <v>40</v>
      </c>
      <c r="H257" s="99">
        <f>SUM(H258)</f>
        <v>0</v>
      </c>
      <c r="I257" s="65">
        <f t="shared" si="7"/>
        <v>0</v>
      </c>
    </row>
    <row r="258" spans="1:9" ht="24" outlineLevel="3">
      <c r="A258" s="60" t="s">
        <v>154</v>
      </c>
      <c r="B258" s="61" t="s">
        <v>39</v>
      </c>
      <c r="C258" s="61" t="s">
        <v>80</v>
      </c>
      <c r="D258" s="61" t="s">
        <v>4</v>
      </c>
      <c r="E258" s="62">
        <v>0</v>
      </c>
      <c r="F258" s="64">
        <v>600</v>
      </c>
      <c r="G258" s="99">
        <f>50-10</f>
        <v>40</v>
      </c>
      <c r="H258" s="99">
        <v>0</v>
      </c>
      <c r="I258" s="65">
        <f t="shared" si="7"/>
        <v>0</v>
      </c>
    </row>
    <row r="259" spans="1:9" ht="24" outlineLevel="3">
      <c r="A259" s="60" t="s">
        <v>153</v>
      </c>
      <c r="B259" s="61" t="s">
        <v>39</v>
      </c>
      <c r="C259" s="61" t="s">
        <v>80</v>
      </c>
      <c r="D259" s="61" t="s">
        <v>16</v>
      </c>
      <c r="E259" s="62">
        <v>0</v>
      </c>
      <c r="F259" s="63"/>
      <c r="G259" s="99">
        <f>SUM(G260)</f>
        <v>6.9</v>
      </c>
      <c r="H259" s="99">
        <f>SUM(H260)</f>
        <v>6.9</v>
      </c>
      <c r="I259" s="65">
        <f t="shared" si="7"/>
        <v>100</v>
      </c>
    </row>
    <row r="260" spans="1:9" ht="24" outlineLevel="3">
      <c r="A260" s="60" t="s">
        <v>100</v>
      </c>
      <c r="B260" s="61" t="s">
        <v>39</v>
      </c>
      <c r="C260" s="61" t="s">
        <v>80</v>
      </c>
      <c r="D260" s="61" t="s">
        <v>16</v>
      </c>
      <c r="E260" s="62">
        <v>0</v>
      </c>
      <c r="F260" s="63">
        <v>200</v>
      </c>
      <c r="G260" s="99">
        <f>6.9</f>
        <v>6.9</v>
      </c>
      <c r="H260" s="99">
        <v>6.9</v>
      </c>
      <c r="I260" s="65">
        <f t="shared" si="7"/>
        <v>100</v>
      </c>
    </row>
    <row r="261" spans="1:9" ht="27.75" customHeight="1" outlineLevel="3">
      <c r="A261" s="59" t="s">
        <v>330</v>
      </c>
      <c r="B261" s="61" t="s">
        <v>39</v>
      </c>
      <c r="C261" s="61" t="s">
        <v>114</v>
      </c>
      <c r="D261" s="61" t="s">
        <v>23</v>
      </c>
      <c r="E261" s="62">
        <v>0</v>
      </c>
      <c r="F261" s="63"/>
      <c r="G261" s="99">
        <f>SUM(G262+G264+G266+G268+G271)</f>
        <v>12365</v>
      </c>
      <c r="H261" s="99">
        <f>SUM(H262+H264+H266+H268+H271)</f>
        <v>8755.88826</v>
      </c>
      <c r="I261" s="65">
        <f t="shared" si="7"/>
        <v>70.811874322685</v>
      </c>
    </row>
    <row r="262" spans="1:9" ht="15.75" outlineLevel="3">
      <c r="A262" s="59" t="s">
        <v>75</v>
      </c>
      <c r="B262" s="61" t="s">
        <v>39</v>
      </c>
      <c r="C262" s="61" t="s">
        <v>80</v>
      </c>
      <c r="D262" s="61" t="s">
        <v>23</v>
      </c>
      <c r="E262" s="62">
        <v>0</v>
      </c>
      <c r="F262" s="63"/>
      <c r="G262" s="99">
        <f>SUM(G263:G263)</f>
        <v>8497</v>
      </c>
      <c r="H262" s="99">
        <f>SUM(H263:H263)</f>
        <v>6308.01565</v>
      </c>
      <c r="I262" s="65">
        <f t="shared" si="7"/>
        <v>74.23815052371425</v>
      </c>
    </row>
    <row r="263" spans="1:9" ht="27" customHeight="1" outlineLevel="3">
      <c r="A263" s="60" t="s">
        <v>154</v>
      </c>
      <c r="B263" s="61" t="s">
        <v>39</v>
      </c>
      <c r="C263" s="61" t="s">
        <v>80</v>
      </c>
      <c r="D263" s="61" t="s">
        <v>23</v>
      </c>
      <c r="E263" s="62">
        <v>0</v>
      </c>
      <c r="F263" s="63">
        <v>600</v>
      </c>
      <c r="G263" s="99">
        <f>7214+1427+442-651+65</f>
        <v>8497</v>
      </c>
      <c r="H263" s="99">
        <v>6308.01565</v>
      </c>
      <c r="I263" s="65">
        <f t="shared" si="7"/>
        <v>74.23815052371425</v>
      </c>
    </row>
    <row r="264" spans="1:9" ht="16.5" customHeight="1" outlineLevel="5">
      <c r="A264" s="59" t="s">
        <v>76</v>
      </c>
      <c r="B264" s="61" t="s">
        <v>39</v>
      </c>
      <c r="C264" s="61" t="s">
        <v>80</v>
      </c>
      <c r="D264" s="61" t="s">
        <v>23</v>
      </c>
      <c r="E264" s="62">
        <v>0</v>
      </c>
      <c r="F264" s="64"/>
      <c r="G264" s="99">
        <f>SUM(G265)</f>
        <v>1593</v>
      </c>
      <c r="H264" s="99">
        <f>SUM(H265)</f>
        <v>1086.07813</v>
      </c>
      <c r="I264" s="65">
        <f t="shared" si="7"/>
        <v>68.17816258631514</v>
      </c>
    </row>
    <row r="265" spans="1:9" ht="27" customHeight="1" outlineLevel="5">
      <c r="A265" s="60" t="s">
        <v>154</v>
      </c>
      <c r="B265" s="61" t="s">
        <v>39</v>
      </c>
      <c r="C265" s="61" t="s">
        <v>80</v>
      </c>
      <c r="D265" s="61" t="s">
        <v>23</v>
      </c>
      <c r="E265" s="62">
        <v>0</v>
      </c>
      <c r="F265" s="64">
        <v>600</v>
      </c>
      <c r="G265" s="99">
        <f>862+731</f>
        <v>1593</v>
      </c>
      <c r="H265" s="99">
        <v>1086.07813</v>
      </c>
      <c r="I265" s="65">
        <f t="shared" si="7"/>
        <v>68.17816258631514</v>
      </c>
    </row>
    <row r="266" spans="1:9" ht="15.75" outlineLevel="5">
      <c r="A266" s="59" t="s">
        <v>77</v>
      </c>
      <c r="B266" s="61" t="s">
        <v>39</v>
      </c>
      <c r="C266" s="61" t="s">
        <v>80</v>
      </c>
      <c r="D266" s="61" t="s">
        <v>23</v>
      </c>
      <c r="E266" s="62">
        <v>0</v>
      </c>
      <c r="F266" s="64"/>
      <c r="G266" s="99">
        <f>SUM(G267:G267)</f>
        <v>1357</v>
      </c>
      <c r="H266" s="99">
        <f>SUM(H267:H267)</f>
        <v>796.01074</v>
      </c>
      <c r="I266" s="65">
        <f aca="true" t="shared" si="8" ref="I266:I329">SUM(H266/G266)*100</f>
        <v>58.65959764185704</v>
      </c>
    </row>
    <row r="267" spans="1:9" ht="24" outlineLevel="5">
      <c r="A267" s="60" t="s">
        <v>154</v>
      </c>
      <c r="B267" s="61" t="s">
        <v>39</v>
      </c>
      <c r="C267" s="61" t="s">
        <v>80</v>
      </c>
      <c r="D267" s="61" t="s">
        <v>23</v>
      </c>
      <c r="E267" s="62">
        <v>0</v>
      </c>
      <c r="F267" s="64">
        <v>600</v>
      </c>
      <c r="G267" s="99">
        <f>1069+288</f>
        <v>1357</v>
      </c>
      <c r="H267" s="99">
        <v>796.01074</v>
      </c>
      <c r="I267" s="65">
        <f t="shared" si="8"/>
        <v>58.65959764185704</v>
      </c>
    </row>
    <row r="268" spans="1:9" ht="15.75" outlineLevel="5">
      <c r="A268" s="59" t="s">
        <v>78</v>
      </c>
      <c r="B268" s="61" t="s">
        <v>39</v>
      </c>
      <c r="C268" s="61" t="s">
        <v>81</v>
      </c>
      <c r="D268" s="61" t="s">
        <v>23</v>
      </c>
      <c r="E268" s="62">
        <v>0</v>
      </c>
      <c r="F268" s="64"/>
      <c r="G268" s="99">
        <f>SUM(G269)</f>
        <v>918</v>
      </c>
      <c r="H268" s="99">
        <f>SUM(H269)</f>
        <v>565.78374</v>
      </c>
      <c r="I268" s="65">
        <f t="shared" si="8"/>
        <v>61.632215686274506</v>
      </c>
    </row>
    <row r="269" spans="1:9" ht="24" outlineLevel="5">
      <c r="A269" s="60" t="s">
        <v>154</v>
      </c>
      <c r="B269" s="61" t="s">
        <v>39</v>
      </c>
      <c r="C269" s="61" t="s">
        <v>81</v>
      </c>
      <c r="D269" s="61" t="s">
        <v>23</v>
      </c>
      <c r="E269" s="62">
        <v>0</v>
      </c>
      <c r="F269" s="64">
        <v>600</v>
      </c>
      <c r="G269" s="99">
        <f>309-42+651</f>
        <v>918</v>
      </c>
      <c r="H269" s="99">
        <v>565.78374</v>
      </c>
      <c r="I269" s="65">
        <f t="shared" si="8"/>
        <v>61.632215686274506</v>
      </c>
    </row>
    <row r="270" spans="1:9" ht="15.75" hidden="1" outlineLevel="5">
      <c r="A270" s="59" t="s">
        <v>79</v>
      </c>
      <c r="B270" s="61" t="s">
        <v>39</v>
      </c>
      <c r="C270" s="61" t="s">
        <v>82</v>
      </c>
      <c r="D270" s="61" t="s">
        <v>23</v>
      </c>
      <c r="E270" s="62">
        <v>0</v>
      </c>
      <c r="F270" s="64"/>
      <c r="G270" s="99">
        <f>SUM(G271+G272)</f>
        <v>0</v>
      </c>
      <c r="H270" s="99">
        <f>SUM(H271+H272)</f>
        <v>0</v>
      </c>
      <c r="I270" s="65" t="e">
        <f t="shared" si="8"/>
        <v>#DIV/0!</v>
      </c>
    </row>
    <row r="271" spans="1:9" ht="24" hidden="1" outlineLevel="5">
      <c r="A271" s="60" t="s">
        <v>154</v>
      </c>
      <c r="B271" s="61" t="s">
        <v>39</v>
      </c>
      <c r="C271" s="61" t="s">
        <v>82</v>
      </c>
      <c r="D271" s="61" t="s">
        <v>23</v>
      </c>
      <c r="E271" s="62">
        <v>0</v>
      </c>
      <c r="F271" s="64">
        <v>600</v>
      </c>
      <c r="G271" s="99">
        <v>0</v>
      </c>
      <c r="H271" s="99">
        <v>0</v>
      </c>
      <c r="I271" s="65" t="e">
        <f t="shared" si="8"/>
        <v>#DIV/0!</v>
      </c>
    </row>
    <row r="272" spans="1:9" ht="36" hidden="1" outlineLevel="5">
      <c r="A272" s="60" t="s">
        <v>319</v>
      </c>
      <c r="B272" s="61" t="s">
        <v>39</v>
      </c>
      <c r="C272" s="61" t="s">
        <v>82</v>
      </c>
      <c r="D272" s="61" t="s">
        <v>315</v>
      </c>
      <c r="E272" s="62">
        <v>0</v>
      </c>
      <c r="F272" s="64"/>
      <c r="G272" s="99">
        <f>SUM(G273)</f>
        <v>0</v>
      </c>
      <c r="H272" s="99">
        <f>SUM(H273)</f>
        <v>0</v>
      </c>
      <c r="I272" s="65" t="e">
        <f t="shared" si="8"/>
        <v>#DIV/0!</v>
      </c>
    </row>
    <row r="273" spans="1:9" ht="36" hidden="1" outlineLevel="5">
      <c r="A273" s="60" t="s">
        <v>321</v>
      </c>
      <c r="B273" s="61" t="s">
        <v>39</v>
      </c>
      <c r="C273" s="61" t="s">
        <v>82</v>
      </c>
      <c r="D273" s="61" t="s">
        <v>315</v>
      </c>
      <c r="E273" s="62">
        <v>0</v>
      </c>
      <c r="F273" s="64">
        <v>500</v>
      </c>
      <c r="G273" s="99">
        <v>0</v>
      </c>
      <c r="H273" s="99">
        <v>0</v>
      </c>
      <c r="I273" s="65" t="e">
        <f t="shared" si="8"/>
        <v>#DIV/0!</v>
      </c>
    </row>
    <row r="274" spans="1:9" ht="15.75" hidden="1" outlineLevel="5">
      <c r="A274" s="60" t="s">
        <v>209</v>
      </c>
      <c r="B274" s="61" t="s">
        <v>39</v>
      </c>
      <c r="C274" s="61" t="s">
        <v>210</v>
      </c>
      <c r="D274" s="61"/>
      <c r="E274" s="62"/>
      <c r="F274" s="64"/>
      <c r="G274" s="99">
        <f>SUM(G275)</f>
        <v>0</v>
      </c>
      <c r="H274" s="99">
        <f>SUM(H275)</f>
        <v>0</v>
      </c>
      <c r="I274" s="65" t="e">
        <f t="shared" si="8"/>
        <v>#DIV/0!</v>
      </c>
    </row>
    <row r="275" spans="1:9" ht="15.75" hidden="1" outlineLevel="5">
      <c r="A275" s="60" t="s">
        <v>211</v>
      </c>
      <c r="B275" s="61" t="s">
        <v>39</v>
      </c>
      <c r="C275" s="61" t="s">
        <v>212</v>
      </c>
      <c r="D275" s="61"/>
      <c r="E275" s="62"/>
      <c r="F275" s="64"/>
      <c r="G275" s="99">
        <f>SUM(G278)</f>
        <v>0</v>
      </c>
      <c r="H275" s="99">
        <f>SUM(H278)</f>
        <v>0</v>
      </c>
      <c r="I275" s="65" t="e">
        <f t="shared" si="8"/>
        <v>#DIV/0!</v>
      </c>
    </row>
    <row r="276" spans="1:9" ht="36" hidden="1" outlineLevel="5">
      <c r="A276" s="60" t="s">
        <v>255</v>
      </c>
      <c r="B276" s="61" t="s">
        <v>39</v>
      </c>
      <c r="C276" s="61" t="s">
        <v>212</v>
      </c>
      <c r="D276" s="61" t="s">
        <v>6</v>
      </c>
      <c r="E276" s="62">
        <v>0</v>
      </c>
      <c r="F276" s="64"/>
      <c r="G276" s="99">
        <f>SUM(G277)</f>
        <v>0</v>
      </c>
      <c r="H276" s="99">
        <f>SUM(H277)</f>
        <v>0</v>
      </c>
      <c r="I276" s="65" t="e">
        <f t="shared" si="8"/>
        <v>#DIV/0!</v>
      </c>
    </row>
    <row r="277" spans="1:9" ht="24" hidden="1" outlineLevel="5">
      <c r="A277" s="60" t="s">
        <v>200</v>
      </c>
      <c r="B277" s="61" t="s">
        <v>39</v>
      </c>
      <c r="C277" s="61" t="s">
        <v>212</v>
      </c>
      <c r="D277" s="61" t="s">
        <v>6</v>
      </c>
      <c r="E277" s="62">
        <v>3</v>
      </c>
      <c r="F277" s="63"/>
      <c r="G277" s="99">
        <f>SUM(G278:G278)</f>
        <v>0</v>
      </c>
      <c r="H277" s="99">
        <f>SUM(H278:H278)</f>
        <v>0</v>
      </c>
      <c r="I277" s="65" t="e">
        <f t="shared" si="8"/>
        <v>#DIV/0!</v>
      </c>
    </row>
    <row r="278" spans="1:9" ht="24" hidden="1" outlineLevel="5">
      <c r="A278" s="60" t="s">
        <v>157</v>
      </c>
      <c r="B278" s="61" t="s">
        <v>39</v>
      </c>
      <c r="C278" s="61" t="s">
        <v>212</v>
      </c>
      <c r="D278" s="61" t="s">
        <v>6</v>
      </c>
      <c r="E278" s="62">
        <v>3</v>
      </c>
      <c r="F278" s="63">
        <v>400</v>
      </c>
      <c r="G278" s="99">
        <v>0</v>
      </c>
      <c r="H278" s="99">
        <v>0</v>
      </c>
      <c r="I278" s="65" t="e">
        <f t="shared" si="8"/>
        <v>#DIV/0!</v>
      </c>
    </row>
    <row r="279" spans="1:9" ht="21" customHeight="1" outlineLevel="5">
      <c r="A279" s="60" t="s">
        <v>83</v>
      </c>
      <c r="B279" s="61" t="s">
        <v>39</v>
      </c>
      <c r="C279" s="61" t="s">
        <v>164</v>
      </c>
      <c r="D279" s="61"/>
      <c r="E279" s="62"/>
      <c r="F279" s="63"/>
      <c r="G279" s="99">
        <f>SUM(G280+G283+G296+G308)</f>
        <v>26879.071560000004</v>
      </c>
      <c r="H279" s="99">
        <f>SUM(H280+H283+H296+H308)</f>
        <v>18857.64199</v>
      </c>
      <c r="I279" s="65">
        <f t="shared" si="8"/>
        <v>70.15734136465835</v>
      </c>
    </row>
    <row r="280" spans="1:9" ht="26.25" customHeight="1" outlineLevel="5">
      <c r="A280" s="60" t="s">
        <v>85</v>
      </c>
      <c r="B280" s="61" t="s">
        <v>39</v>
      </c>
      <c r="C280" s="61" t="s">
        <v>86</v>
      </c>
      <c r="D280" s="61"/>
      <c r="E280" s="62"/>
      <c r="F280" s="63"/>
      <c r="G280" s="99">
        <v>4000</v>
      </c>
      <c r="H280" s="99">
        <v>2902.94874</v>
      </c>
      <c r="I280" s="65">
        <f t="shared" si="8"/>
        <v>72.5737185</v>
      </c>
    </row>
    <row r="281" spans="1:9" ht="24" customHeight="1" outlineLevel="5">
      <c r="A281" s="60" t="s">
        <v>153</v>
      </c>
      <c r="B281" s="61" t="s">
        <v>39</v>
      </c>
      <c r="C281" s="61" t="s">
        <v>86</v>
      </c>
      <c r="D281" s="61" t="s">
        <v>16</v>
      </c>
      <c r="E281" s="62">
        <v>0</v>
      </c>
      <c r="F281" s="63"/>
      <c r="G281" s="99">
        <f>SUM(G282)</f>
        <v>4000</v>
      </c>
      <c r="H281" s="99">
        <f>SUM(H282)</f>
        <v>2902.94874</v>
      </c>
      <c r="I281" s="65">
        <f t="shared" si="8"/>
        <v>72.5737185</v>
      </c>
    </row>
    <row r="282" spans="1:9" ht="15.75" outlineLevel="5">
      <c r="A282" s="60" t="s">
        <v>155</v>
      </c>
      <c r="B282" s="61" t="s">
        <v>39</v>
      </c>
      <c r="C282" s="61" t="s">
        <v>86</v>
      </c>
      <c r="D282" s="61" t="s">
        <v>16</v>
      </c>
      <c r="E282" s="62">
        <v>0</v>
      </c>
      <c r="F282" s="63">
        <v>300</v>
      </c>
      <c r="G282" s="99">
        <f>4000+230-230</f>
        <v>4000</v>
      </c>
      <c r="H282" s="99">
        <v>2902.94874</v>
      </c>
      <c r="I282" s="65">
        <f t="shared" si="8"/>
        <v>72.5737185</v>
      </c>
    </row>
    <row r="283" spans="1:9" ht="18.75" customHeight="1" outlineLevel="5">
      <c r="A283" s="60" t="s">
        <v>87</v>
      </c>
      <c r="B283" s="61" t="s">
        <v>39</v>
      </c>
      <c r="C283" s="61" t="s">
        <v>89</v>
      </c>
      <c r="D283" s="61"/>
      <c r="E283" s="62"/>
      <c r="F283" s="63"/>
      <c r="G283" s="99">
        <f>SUM(G284+G286)</f>
        <v>14634.105000000001</v>
      </c>
      <c r="H283" s="99">
        <f>SUM(H284+H286)</f>
        <v>9951.795559999999</v>
      </c>
      <c r="I283" s="65">
        <f t="shared" si="8"/>
        <v>68.00412843832949</v>
      </c>
    </row>
    <row r="284" spans="1:9" ht="58.5" customHeight="1" outlineLevel="5">
      <c r="A284" s="60" t="s">
        <v>257</v>
      </c>
      <c r="B284" s="61" t="s">
        <v>39</v>
      </c>
      <c r="C284" s="61" t="s">
        <v>89</v>
      </c>
      <c r="D284" s="61" t="s">
        <v>7</v>
      </c>
      <c r="E284" s="62">
        <v>0</v>
      </c>
      <c r="F284" s="63"/>
      <c r="G284" s="99">
        <f>SUM(G285)</f>
        <v>800</v>
      </c>
      <c r="H284" s="99">
        <f>SUM(H285)</f>
        <v>618.649</v>
      </c>
      <c r="I284" s="65">
        <f t="shared" si="8"/>
        <v>77.331125</v>
      </c>
    </row>
    <row r="285" spans="1:9" ht="16.5" customHeight="1" outlineLevel="5">
      <c r="A285" s="60" t="s">
        <v>155</v>
      </c>
      <c r="B285" s="61" t="s">
        <v>39</v>
      </c>
      <c r="C285" s="61" t="s">
        <v>89</v>
      </c>
      <c r="D285" s="61" t="s">
        <v>7</v>
      </c>
      <c r="E285" s="62">
        <v>0</v>
      </c>
      <c r="F285" s="63">
        <v>300</v>
      </c>
      <c r="G285" s="99">
        <f>100+700</f>
        <v>800</v>
      </c>
      <c r="H285" s="99">
        <v>618.649</v>
      </c>
      <c r="I285" s="65">
        <f t="shared" si="8"/>
        <v>77.331125</v>
      </c>
    </row>
    <row r="286" spans="1:9" ht="24.75" customHeight="1">
      <c r="A286" s="60" t="s">
        <v>153</v>
      </c>
      <c r="B286" s="61" t="s">
        <v>39</v>
      </c>
      <c r="C286" s="61" t="s">
        <v>89</v>
      </c>
      <c r="D286" s="61" t="s">
        <v>16</v>
      </c>
      <c r="E286" s="62">
        <v>0</v>
      </c>
      <c r="F286" s="63"/>
      <c r="G286" s="99">
        <f>SUM(G290+G293+G294+G295+G287)</f>
        <v>13834.105000000001</v>
      </c>
      <c r="H286" s="99">
        <f>SUM(H290+H293+H294+H295+H287)</f>
        <v>9333.14656</v>
      </c>
      <c r="I286" s="65">
        <f t="shared" si="8"/>
        <v>67.46476595341728</v>
      </c>
    </row>
    <row r="287" spans="1:9" ht="24.75" customHeight="1">
      <c r="A287" s="60" t="s">
        <v>347</v>
      </c>
      <c r="B287" s="61" t="s">
        <v>39</v>
      </c>
      <c r="C287" s="61" t="s">
        <v>89</v>
      </c>
      <c r="D287" s="61" t="s">
        <v>16</v>
      </c>
      <c r="E287" s="62">
        <v>0</v>
      </c>
      <c r="F287" s="63"/>
      <c r="G287" s="99">
        <f>SUM(G288:G289)</f>
        <v>1018</v>
      </c>
      <c r="H287" s="99">
        <f>SUM(H288:H289)</f>
        <v>1000</v>
      </c>
      <c r="I287" s="65">
        <f t="shared" si="8"/>
        <v>98.23182711198429</v>
      </c>
    </row>
    <row r="288" spans="1:9" ht="15.75" customHeight="1">
      <c r="A288" s="60" t="s">
        <v>155</v>
      </c>
      <c r="B288" s="61" t="s">
        <v>39</v>
      </c>
      <c r="C288" s="61" t="s">
        <v>89</v>
      </c>
      <c r="D288" s="61" t="s">
        <v>16</v>
      </c>
      <c r="E288" s="62">
        <v>0</v>
      </c>
      <c r="F288" s="63">
        <v>300</v>
      </c>
      <c r="G288" s="99">
        <v>1018</v>
      </c>
      <c r="H288" s="99">
        <v>1000</v>
      </c>
      <c r="I288" s="65">
        <f t="shared" si="8"/>
        <v>98.23182711198429</v>
      </c>
    </row>
    <row r="289" spans="1:9" ht="24.75" customHeight="1" hidden="1">
      <c r="A289" s="60" t="s">
        <v>100</v>
      </c>
      <c r="B289" s="61" t="s">
        <v>39</v>
      </c>
      <c r="C289" s="61" t="s">
        <v>89</v>
      </c>
      <c r="D289" s="61" t="s">
        <v>16</v>
      </c>
      <c r="E289" s="62">
        <v>0</v>
      </c>
      <c r="F289" s="63">
        <v>200</v>
      </c>
      <c r="G289" s="99"/>
      <c r="H289" s="99">
        <v>0</v>
      </c>
      <c r="I289" s="65" t="e">
        <f t="shared" si="8"/>
        <v>#DIV/0!</v>
      </c>
    </row>
    <row r="290" spans="1:9" ht="84">
      <c r="A290" s="60" t="s">
        <v>104</v>
      </c>
      <c r="B290" s="61" t="s">
        <v>39</v>
      </c>
      <c r="C290" s="61" t="s">
        <v>89</v>
      </c>
      <c r="D290" s="61" t="s">
        <v>16</v>
      </c>
      <c r="E290" s="62">
        <v>0</v>
      </c>
      <c r="F290" s="63"/>
      <c r="G290" s="99">
        <f>SUM(G291:G292)</f>
        <v>8625.005000000001</v>
      </c>
      <c r="H290" s="99">
        <f>SUM(H291:H292)</f>
        <v>5995.41928</v>
      </c>
      <c r="I290" s="65">
        <f t="shared" si="8"/>
        <v>69.51206729735229</v>
      </c>
    </row>
    <row r="291" spans="1:9" ht="15.75">
      <c r="A291" s="60" t="s">
        <v>155</v>
      </c>
      <c r="B291" s="61" t="s">
        <v>39</v>
      </c>
      <c r="C291" s="61" t="s">
        <v>89</v>
      </c>
      <c r="D291" s="61" t="s">
        <v>16</v>
      </c>
      <c r="E291" s="62">
        <v>0</v>
      </c>
      <c r="F291" s="63">
        <v>300</v>
      </c>
      <c r="G291" s="99">
        <f>10022.08+101.687-1584.158</f>
        <v>8539.609</v>
      </c>
      <c r="H291" s="99">
        <v>5936.89764</v>
      </c>
      <c r="I291" s="65">
        <f t="shared" si="8"/>
        <v>69.52189075635664</v>
      </c>
    </row>
    <row r="292" spans="1:9" ht="28.5" customHeight="1">
      <c r="A292" s="60" t="s">
        <v>100</v>
      </c>
      <c r="B292" s="61" t="s">
        <v>39</v>
      </c>
      <c r="C292" s="61" t="s">
        <v>89</v>
      </c>
      <c r="D292" s="61" t="s">
        <v>16</v>
      </c>
      <c r="E292" s="62">
        <v>0</v>
      </c>
      <c r="F292" s="63">
        <v>200</v>
      </c>
      <c r="G292" s="99">
        <f>100.22+1.018-15.842</f>
        <v>85.396</v>
      </c>
      <c r="H292" s="99">
        <v>58.52164</v>
      </c>
      <c r="I292" s="65">
        <f t="shared" si="8"/>
        <v>68.52972036160944</v>
      </c>
    </row>
    <row r="293" spans="1:9" ht="67.5" customHeight="1">
      <c r="A293" s="60" t="s">
        <v>105</v>
      </c>
      <c r="B293" s="61" t="s">
        <v>39</v>
      </c>
      <c r="C293" s="61" t="s">
        <v>89</v>
      </c>
      <c r="D293" s="61" t="s">
        <v>16</v>
      </c>
      <c r="E293" s="62">
        <v>0</v>
      </c>
      <c r="F293" s="63">
        <v>300</v>
      </c>
      <c r="G293" s="99">
        <v>751.9</v>
      </c>
      <c r="H293" s="99">
        <v>471.01361</v>
      </c>
      <c r="I293" s="65">
        <f t="shared" si="8"/>
        <v>62.643118765793325</v>
      </c>
    </row>
    <row r="294" spans="1:9" ht="63.75" customHeight="1">
      <c r="A294" s="60" t="s">
        <v>106</v>
      </c>
      <c r="B294" s="61" t="s">
        <v>39</v>
      </c>
      <c r="C294" s="61" t="s">
        <v>89</v>
      </c>
      <c r="D294" s="61" t="s">
        <v>16</v>
      </c>
      <c r="E294" s="62">
        <v>0</v>
      </c>
      <c r="F294" s="63">
        <v>300</v>
      </c>
      <c r="G294" s="99">
        <v>55.2</v>
      </c>
      <c r="H294" s="99">
        <v>25.23179</v>
      </c>
      <c r="I294" s="65">
        <f t="shared" si="8"/>
        <v>45.70976449275362</v>
      </c>
    </row>
    <row r="295" spans="1:9" ht="60.75" customHeight="1">
      <c r="A295" s="60" t="s">
        <v>107</v>
      </c>
      <c r="B295" s="61" t="s">
        <v>39</v>
      </c>
      <c r="C295" s="61" t="s">
        <v>89</v>
      </c>
      <c r="D295" s="61" t="s">
        <v>16</v>
      </c>
      <c r="E295" s="62">
        <v>0</v>
      </c>
      <c r="F295" s="63">
        <v>300</v>
      </c>
      <c r="G295" s="99">
        <v>3384</v>
      </c>
      <c r="H295" s="99">
        <v>1841.48188</v>
      </c>
      <c r="I295" s="65">
        <f t="shared" si="8"/>
        <v>54.41731323877068</v>
      </c>
    </row>
    <row r="296" spans="1:9" ht="18.75" customHeight="1">
      <c r="A296" s="60" t="s">
        <v>88</v>
      </c>
      <c r="B296" s="61" t="s">
        <v>39</v>
      </c>
      <c r="C296" s="61" t="s">
        <v>90</v>
      </c>
      <c r="D296" s="61"/>
      <c r="E296" s="62"/>
      <c r="F296" s="63"/>
      <c r="G296" s="99">
        <f>SUM(G299+G297)</f>
        <v>7245.571559999999</v>
      </c>
      <c r="H296" s="99">
        <f>SUM(H299+H297)</f>
        <v>5290.7996299999995</v>
      </c>
      <c r="I296" s="65">
        <f t="shared" si="8"/>
        <v>73.02114934877547</v>
      </c>
    </row>
    <row r="297" spans="1:9" ht="0.75" customHeight="1" hidden="1">
      <c r="A297" s="60" t="s">
        <v>253</v>
      </c>
      <c r="B297" s="61" t="s">
        <v>39</v>
      </c>
      <c r="C297" s="61" t="s">
        <v>90</v>
      </c>
      <c r="D297" s="61" t="s">
        <v>254</v>
      </c>
      <c r="E297" s="62">
        <v>0</v>
      </c>
      <c r="F297" s="63"/>
      <c r="G297" s="99">
        <f>SUM(G298)</f>
        <v>0</v>
      </c>
      <c r="H297" s="99">
        <f>SUM(H298)</f>
        <v>0</v>
      </c>
      <c r="I297" s="65" t="e">
        <f t="shared" si="8"/>
        <v>#DIV/0!</v>
      </c>
    </row>
    <row r="298" spans="1:9" ht="15.75" hidden="1">
      <c r="A298" s="60" t="s">
        <v>155</v>
      </c>
      <c r="B298" s="61" t="s">
        <v>39</v>
      </c>
      <c r="C298" s="61" t="s">
        <v>90</v>
      </c>
      <c r="D298" s="61" t="s">
        <v>254</v>
      </c>
      <c r="E298" s="62">
        <v>0</v>
      </c>
      <c r="F298" s="63">
        <v>300</v>
      </c>
      <c r="G298" s="99">
        <v>0</v>
      </c>
      <c r="H298" s="99">
        <v>0</v>
      </c>
      <c r="I298" s="65" t="e">
        <f t="shared" si="8"/>
        <v>#DIV/0!</v>
      </c>
    </row>
    <row r="299" spans="1:9" ht="27.75" customHeight="1">
      <c r="A299" s="60" t="s">
        <v>153</v>
      </c>
      <c r="B299" s="61" t="s">
        <v>39</v>
      </c>
      <c r="C299" s="61" t="s">
        <v>90</v>
      </c>
      <c r="D299" s="61" t="s">
        <v>16</v>
      </c>
      <c r="E299" s="62">
        <v>0</v>
      </c>
      <c r="F299" s="63"/>
      <c r="G299" s="99">
        <f>SUM(G300+G303+G306)</f>
        <v>7245.571559999999</v>
      </c>
      <c r="H299" s="99">
        <f>SUM(H300+H303+H306)</f>
        <v>5290.7996299999995</v>
      </c>
      <c r="I299" s="65">
        <f t="shared" si="8"/>
        <v>73.02114934877547</v>
      </c>
    </row>
    <row r="300" spans="1:9" ht="48.75" customHeight="1">
      <c r="A300" s="60" t="s">
        <v>108</v>
      </c>
      <c r="B300" s="61" t="s">
        <v>39</v>
      </c>
      <c r="C300" s="61" t="s">
        <v>90</v>
      </c>
      <c r="D300" s="61" t="s">
        <v>16</v>
      </c>
      <c r="E300" s="62">
        <v>0</v>
      </c>
      <c r="F300" s="63"/>
      <c r="G300" s="99">
        <f>SUM(G301:G302)</f>
        <v>693.9</v>
      </c>
      <c r="H300" s="99">
        <f>SUM(H301:H302)</f>
        <v>224.79962999999998</v>
      </c>
      <c r="I300" s="65">
        <f t="shared" si="8"/>
        <v>32.39654561175962</v>
      </c>
    </row>
    <row r="301" spans="1:9" ht="14.25" customHeight="1">
      <c r="A301" s="60" t="s">
        <v>155</v>
      </c>
      <c r="B301" s="61" t="s">
        <v>39</v>
      </c>
      <c r="C301" s="61" t="s">
        <v>90</v>
      </c>
      <c r="D301" s="61" t="s">
        <v>16</v>
      </c>
      <c r="E301" s="62">
        <v>0</v>
      </c>
      <c r="F301" s="63">
        <v>300</v>
      </c>
      <c r="G301" s="99">
        <v>687.03</v>
      </c>
      <c r="H301" s="99">
        <v>222.61924</v>
      </c>
      <c r="I301" s="65">
        <f t="shared" si="8"/>
        <v>32.40313232318822</v>
      </c>
    </row>
    <row r="302" spans="1:9" ht="23.25" customHeight="1">
      <c r="A302" s="60" t="s">
        <v>100</v>
      </c>
      <c r="B302" s="61" t="s">
        <v>39</v>
      </c>
      <c r="C302" s="61" t="s">
        <v>90</v>
      </c>
      <c r="D302" s="61" t="s">
        <v>16</v>
      </c>
      <c r="E302" s="62">
        <v>0</v>
      </c>
      <c r="F302" s="63">
        <v>200</v>
      </c>
      <c r="G302" s="99">
        <v>6.87</v>
      </c>
      <c r="H302" s="99">
        <v>2.18039</v>
      </c>
      <c r="I302" s="65">
        <f t="shared" si="8"/>
        <v>31.737845705967977</v>
      </c>
    </row>
    <row r="303" spans="1:9" ht="96">
      <c r="A303" s="60" t="s">
        <v>230</v>
      </c>
      <c r="B303" s="61" t="s">
        <v>39</v>
      </c>
      <c r="C303" s="61" t="s">
        <v>90</v>
      </c>
      <c r="D303" s="61" t="s">
        <v>16</v>
      </c>
      <c r="E303" s="107">
        <v>0</v>
      </c>
      <c r="F303" s="63"/>
      <c r="G303" s="99">
        <f>SUM(G304:G305)</f>
        <v>6525.3</v>
      </c>
      <c r="H303" s="99">
        <f>SUM(H304:H305)</f>
        <v>5066</v>
      </c>
      <c r="I303" s="65">
        <f t="shared" si="8"/>
        <v>77.63627725928309</v>
      </c>
    </row>
    <row r="304" spans="1:9" ht="15.75">
      <c r="A304" s="60" t="s">
        <v>109</v>
      </c>
      <c r="B304" s="61" t="s">
        <v>39</v>
      </c>
      <c r="C304" s="61" t="s">
        <v>90</v>
      </c>
      <c r="D304" s="61" t="s">
        <v>16</v>
      </c>
      <c r="E304" s="62">
        <v>0</v>
      </c>
      <c r="F304" s="63">
        <v>300</v>
      </c>
      <c r="G304" s="99">
        <f>3732.9+1747.1</f>
        <v>5480</v>
      </c>
      <c r="H304" s="99">
        <v>4036.1</v>
      </c>
      <c r="I304" s="65">
        <f t="shared" si="8"/>
        <v>73.6514598540146</v>
      </c>
    </row>
    <row r="305" spans="1:9" ht="26.25" customHeight="1">
      <c r="A305" s="60" t="s">
        <v>110</v>
      </c>
      <c r="B305" s="61" t="s">
        <v>39</v>
      </c>
      <c r="C305" s="61" t="s">
        <v>90</v>
      </c>
      <c r="D305" s="61" t="s">
        <v>16</v>
      </c>
      <c r="E305" s="62">
        <v>0</v>
      </c>
      <c r="F305" s="63">
        <v>300</v>
      </c>
      <c r="G305" s="99">
        <f>1299.4-299.4+45.3</f>
        <v>1045.3000000000002</v>
      </c>
      <c r="H305" s="99">
        <v>1029.9</v>
      </c>
      <c r="I305" s="65">
        <f t="shared" si="8"/>
        <v>98.5267387352913</v>
      </c>
    </row>
    <row r="306" spans="1:9" ht="39.75" customHeight="1">
      <c r="A306" s="60" t="s">
        <v>342</v>
      </c>
      <c r="B306" s="61" t="s">
        <v>39</v>
      </c>
      <c r="C306" s="61" t="s">
        <v>90</v>
      </c>
      <c r="D306" s="61" t="s">
        <v>16</v>
      </c>
      <c r="E306" s="107">
        <v>0</v>
      </c>
      <c r="F306" s="63"/>
      <c r="G306" s="99">
        <f>SUM(G307)</f>
        <v>26.37156</v>
      </c>
      <c r="H306" s="99">
        <f>SUM(H307)</f>
        <v>0</v>
      </c>
      <c r="I306" s="65">
        <f t="shared" si="8"/>
        <v>0</v>
      </c>
    </row>
    <row r="307" spans="1:9" ht="26.25" customHeight="1">
      <c r="A307" s="60" t="s">
        <v>100</v>
      </c>
      <c r="B307" s="61" t="s">
        <v>39</v>
      </c>
      <c r="C307" s="61" t="s">
        <v>90</v>
      </c>
      <c r="D307" s="61" t="s">
        <v>16</v>
      </c>
      <c r="E307" s="62">
        <v>0</v>
      </c>
      <c r="F307" s="63">
        <v>200</v>
      </c>
      <c r="G307" s="99">
        <f>26.37156</f>
        <v>26.37156</v>
      </c>
      <c r="H307" s="99">
        <v>0</v>
      </c>
      <c r="I307" s="65">
        <f t="shared" si="8"/>
        <v>0</v>
      </c>
    </row>
    <row r="308" spans="1:9" ht="15.75">
      <c r="A308" s="60" t="s">
        <v>223</v>
      </c>
      <c r="B308" s="61" t="s">
        <v>39</v>
      </c>
      <c r="C308" s="61" t="s">
        <v>222</v>
      </c>
      <c r="D308" s="61"/>
      <c r="E308" s="62"/>
      <c r="F308" s="63"/>
      <c r="G308" s="99">
        <f>SUM(G309)</f>
        <v>999.395</v>
      </c>
      <c r="H308" s="99">
        <f>SUM(H309)</f>
        <v>712.09806</v>
      </c>
      <c r="I308" s="65">
        <f t="shared" si="8"/>
        <v>71.25291401297785</v>
      </c>
    </row>
    <row r="309" spans="1:9" ht="24">
      <c r="A309" s="60" t="s">
        <v>153</v>
      </c>
      <c r="B309" s="61" t="s">
        <v>39</v>
      </c>
      <c r="C309" s="61" t="s">
        <v>222</v>
      </c>
      <c r="D309" s="61" t="s">
        <v>16</v>
      </c>
      <c r="E309" s="62">
        <v>0</v>
      </c>
      <c r="F309" s="63"/>
      <c r="G309" s="99">
        <f>SUM(G310)</f>
        <v>999.395</v>
      </c>
      <c r="H309" s="99">
        <f>SUM(H310)</f>
        <v>712.09806</v>
      </c>
      <c r="I309" s="65">
        <f t="shared" si="8"/>
        <v>71.25291401297785</v>
      </c>
    </row>
    <row r="310" spans="1:9" ht="84">
      <c r="A310" s="60" t="s">
        <v>104</v>
      </c>
      <c r="B310" s="61" t="s">
        <v>39</v>
      </c>
      <c r="C310" s="61" t="s">
        <v>222</v>
      </c>
      <c r="D310" s="61" t="s">
        <v>16</v>
      </c>
      <c r="E310" s="62">
        <v>0</v>
      </c>
      <c r="F310" s="63"/>
      <c r="G310" s="99">
        <f>SUM(G311:G312)</f>
        <v>999.395</v>
      </c>
      <c r="H310" s="99">
        <f>SUM(H311:H312)</f>
        <v>712.09806</v>
      </c>
      <c r="I310" s="65">
        <f t="shared" si="8"/>
        <v>71.25291401297785</v>
      </c>
    </row>
    <row r="311" spans="1:9" ht="43.5" customHeight="1">
      <c r="A311" s="60" t="s">
        <v>99</v>
      </c>
      <c r="B311" s="61" t="s">
        <v>39</v>
      </c>
      <c r="C311" s="61" t="s">
        <v>222</v>
      </c>
      <c r="D311" s="61" t="s">
        <v>16</v>
      </c>
      <c r="E311" s="62">
        <v>0</v>
      </c>
      <c r="F311" s="63">
        <v>100</v>
      </c>
      <c r="G311" s="99">
        <f>1000-69.705</f>
        <v>930.295</v>
      </c>
      <c r="H311" s="99">
        <v>690.55062</v>
      </c>
      <c r="I311" s="65">
        <f t="shared" si="8"/>
        <v>74.22920901434492</v>
      </c>
    </row>
    <row r="312" spans="1:9" ht="25.5" customHeight="1">
      <c r="A312" s="60" t="s">
        <v>100</v>
      </c>
      <c r="B312" s="61" t="s">
        <v>39</v>
      </c>
      <c r="C312" s="61" t="s">
        <v>222</v>
      </c>
      <c r="D312" s="61" t="s">
        <v>16</v>
      </c>
      <c r="E312" s="62">
        <v>0</v>
      </c>
      <c r="F312" s="63">
        <v>200</v>
      </c>
      <c r="G312" s="99">
        <f>102.1-33</f>
        <v>69.1</v>
      </c>
      <c r="H312" s="99">
        <v>21.54744</v>
      </c>
      <c r="I312" s="65">
        <f t="shared" si="8"/>
        <v>31.182981186685964</v>
      </c>
    </row>
    <row r="313" spans="1:9" ht="20.25" customHeight="1">
      <c r="A313" s="60" t="s">
        <v>91</v>
      </c>
      <c r="B313" s="61" t="s">
        <v>39</v>
      </c>
      <c r="C313" s="61" t="s">
        <v>135</v>
      </c>
      <c r="D313" s="61"/>
      <c r="E313" s="62"/>
      <c r="F313" s="63"/>
      <c r="G313" s="99">
        <f>SUM(G322+G318+G314)</f>
        <v>400</v>
      </c>
      <c r="H313" s="99">
        <f>SUM(H322+H318+H314)</f>
        <v>364.864</v>
      </c>
      <c r="I313" s="65">
        <f t="shared" si="8"/>
        <v>91.216</v>
      </c>
    </row>
    <row r="314" spans="1:9" ht="20.25" customHeight="1" hidden="1">
      <c r="A314" s="60" t="s">
        <v>274</v>
      </c>
      <c r="B314" s="61" t="s">
        <v>39</v>
      </c>
      <c r="C314" s="61" t="s">
        <v>213</v>
      </c>
      <c r="D314" s="61"/>
      <c r="E314" s="62"/>
      <c r="F314" s="63"/>
      <c r="G314" s="99">
        <f>SUM(G315)</f>
        <v>0</v>
      </c>
      <c r="H314" s="99">
        <f>SUM(H315)</f>
        <v>0</v>
      </c>
      <c r="I314" s="65" t="e">
        <f t="shared" si="8"/>
        <v>#DIV/0!</v>
      </c>
    </row>
    <row r="315" spans="1:9" ht="20.25" customHeight="1" hidden="1">
      <c r="A315" s="60" t="s">
        <v>272</v>
      </c>
      <c r="B315" s="61" t="s">
        <v>39</v>
      </c>
      <c r="C315" s="61" t="s">
        <v>213</v>
      </c>
      <c r="D315" s="61" t="s">
        <v>12</v>
      </c>
      <c r="E315" s="62">
        <v>0</v>
      </c>
      <c r="F315" s="63"/>
      <c r="G315" s="99">
        <f>SUM(G316:G317)</f>
        <v>0</v>
      </c>
      <c r="H315" s="99">
        <f>SUM(H316:H317)</f>
        <v>0</v>
      </c>
      <c r="I315" s="65" t="e">
        <f t="shared" si="8"/>
        <v>#DIV/0!</v>
      </c>
    </row>
    <row r="316" spans="1:9" ht="20.25" customHeight="1" hidden="1">
      <c r="A316" s="60" t="s">
        <v>282</v>
      </c>
      <c r="B316" s="61" t="s">
        <v>39</v>
      </c>
      <c r="C316" s="61" t="s">
        <v>213</v>
      </c>
      <c r="D316" s="61" t="s">
        <v>12</v>
      </c>
      <c r="E316" s="62">
        <v>0</v>
      </c>
      <c r="F316" s="63">
        <v>400</v>
      </c>
      <c r="G316" s="99">
        <v>0</v>
      </c>
      <c r="H316" s="99">
        <v>0</v>
      </c>
      <c r="I316" s="65" t="e">
        <f t="shared" si="8"/>
        <v>#DIV/0!</v>
      </c>
    </row>
    <row r="317" spans="1:9" ht="20.25" customHeight="1" hidden="1">
      <c r="A317" s="60" t="s">
        <v>273</v>
      </c>
      <c r="B317" s="61" t="s">
        <v>39</v>
      </c>
      <c r="C317" s="61" t="s">
        <v>213</v>
      </c>
      <c r="D317" s="61" t="s">
        <v>12</v>
      </c>
      <c r="E317" s="62">
        <v>0</v>
      </c>
      <c r="F317" s="63">
        <v>400</v>
      </c>
      <c r="G317" s="99">
        <v>0</v>
      </c>
      <c r="H317" s="99">
        <v>0</v>
      </c>
      <c r="I317" s="65" t="e">
        <f t="shared" si="8"/>
        <v>#DIV/0!</v>
      </c>
    </row>
    <row r="318" spans="1:9" ht="15.75" hidden="1">
      <c r="A318" s="60" t="s">
        <v>270</v>
      </c>
      <c r="B318" s="61" t="s">
        <v>39</v>
      </c>
      <c r="C318" s="61" t="s">
        <v>269</v>
      </c>
      <c r="D318" s="61"/>
      <c r="E318" s="62"/>
      <c r="F318" s="63"/>
      <c r="G318" s="99">
        <f>SUM(G319)</f>
        <v>0</v>
      </c>
      <c r="H318" s="99">
        <f>SUM(H319)</f>
        <v>0</v>
      </c>
      <c r="I318" s="65" t="e">
        <f t="shared" si="8"/>
        <v>#DIV/0!</v>
      </c>
    </row>
    <row r="319" spans="1:9" ht="24" hidden="1">
      <c r="A319" s="60" t="s">
        <v>245</v>
      </c>
      <c r="B319" s="61" t="s">
        <v>39</v>
      </c>
      <c r="C319" s="61" t="s">
        <v>269</v>
      </c>
      <c r="D319" s="61" t="s">
        <v>18</v>
      </c>
      <c r="E319" s="62">
        <v>0</v>
      </c>
      <c r="F319" s="63"/>
      <c r="G319" s="99">
        <f>SUM(G320:G321)</f>
        <v>0</v>
      </c>
      <c r="H319" s="99">
        <f>SUM(H320:H321)</f>
        <v>0</v>
      </c>
      <c r="I319" s="65" t="e">
        <f t="shared" si="8"/>
        <v>#DIV/0!</v>
      </c>
    </row>
    <row r="320" spans="1:9" ht="36" hidden="1">
      <c r="A320" s="60" t="s">
        <v>301</v>
      </c>
      <c r="B320" s="61" t="s">
        <v>39</v>
      </c>
      <c r="C320" s="61" t="s">
        <v>269</v>
      </c>
      <c r="D320" s="61" t="s">
        <v>18</v>
      </c>
      <c r="E320" s="62">
        <v>0</v>
      </c>
      <c r="F320" s="63">
        <v>400</v>
      </c>
      <c r="G320" s="99">
        <v>0</v>
      </c>
      <c r="H320" s="99">
        <v>0</v>
      </c>
      <c r="I320" s="65" t="e">
        <f t="shared" si="8"/>
        <v>#DIV/0!</v>
      </c>
    </row>
    <row r="321" spans="1:9" ht="24" hidden="1">
      <c r="A321" s="60" t="s">
        <v>157</v>
      </c>
      <c r="B321" s="61" t="s">
        <v>39</v>
      </c>
      <c r="C321" s="61" t="s">
        <v>269</v>
      </c>
      <c r="D321" s="61" t="s">
        <v>18</v>
      </c>
      <c r="E321" s="62">
        <v>0</v>
      </c>
      <c r="F321" s="63">
        <v>400</v>
      </c>
      <c r="G321" s="99">
        <v>0</v>
      </c>
      <c r="H321" s="99">
        <v>0</v>
      </c>
      <c r="I321" s="65" t="e">
        <f t="shared" si="8"/>
        <v>#DIV/0!</v>
      </c>
    </row>
    <row r="322" spans="1:9" ht="15.75">
      <c r="A322" s="60" t="s">
        <v>214</v>
      </c>
      <c r="B322" s="61" t="s">
        <v>39</v>
      </c>
      <c r="C322" s="61" t="s">
        <v>92</v>
      </c>
      <c r="D322" s="61"/>
      <c r="E322" s="62"/>
      <c r="F322" s="63"/>
      <c r="G322" s="99">
        <f>SUM(G323)</f>
        <v>400</v>
      </c>
      <c r="H322" s="99">
        <f>SUM(H323)</f>
        <v>364.864</v>
      </c>
      <c r="I322" s="65">
        <f t="shared" si="8"/>
        <v>91.216</v>
      </c>
    </row>
    <row r="323" spans="1:9" ht="24">
      <c r="A323" s="60" t="s">
        <v>245</v>
      </c>
      <c r="B323" s="61" t="s">
        <v>39</v>
      </c>
      <c r="C323" s="61" t="s">
        <v>92</v>
      </c>
      <c r="D323" s="61" t="s">
        <v>18</v>
      </c>
      <c r="E323" s="62">
        <v>0</v>
      </c>
      <c r="F323" s="63"/>
      <c r="G323" s="99">
        <f>SUM(G324)</f>
        <v>400</v>
      </c>
      <c r="H323" s="99">
        <f>SUM(H324)</f>
        <v>364.864</v>
      </c>
      <c r="I323" s="65">
        <f t="shared" si="8"/>
        <v>91.216</v>
      </c>
    </row>
    <row r="324" spans="1:9" ht="24" customHeight="1">
      <c r="A324" s="60" t="s">
        <v>100</v>
      </c>
      <c r="B324" s="61" t="s">
        <v>39</v>
      </c>
      <c r="C324" s="61" t="s">
        <v>92</v>
      </c>
      <c r="D324" s="61" t="s">
        <v>18</v>
      </c>
      <c r="E324" s="62">
        <v>0</v>
      </c>
      <c r="F324" s="63">
        <v>200</v>
      </c>
      <c r="G324" s="99">
        <f>500+10-10-100</f>
        <v>400</v>
      </c>
      <c r="H324" s="99">
        <v>364.864</v>
      </c>
      <c r="I324" s="65">
        <f t="shared" si="8"/>
        <v>91.216</v>
      </c>
    </row>
    <row r="325" spans="1:9" ht="15.75">
      <c r="A325" s="60" t="s">
        <v>93</v>
      </c>
      <c r="B325" s="61" t="s">
        <v>39</v>
      </c>
      <c r="C325" s="61" t="s">
        <v>136</v>
      </c>
      <c r="D325" s="61"/>
      <c r="E325" s="62"/>
      <c r="F325" s="63"/>
      <c r="G325" s="99">
        <f>SUM(G327)</f>
        <v>2182.9</v>
      </c>
      <c r="H325" s="99">
        <f>SUM(H327)</f>
        <v>1917.9</v>
      </c>
      <c r="I325" s="65">
        <f t="shared" si="8"/>
        <v>87.86018599111274</v>
      </c>
    </row>
    <row r="326" spans="1:9" ht="18.75" customHeight="1">
      <c r="A326" s="60" t="s">
        <v>94</v>
      </c>
      <c r="B326" s="61" t="s">
        <v>39</v>
      </c>
      <c r="C326" s="61" t="s">
        <v>95</v>
      </c>
      <c r="D326" s="61"/>
      <c r="E326" s="62"/>
      <c r="F326" s="108"/>
      <c r="G326" s="99">
        <f>SUM(G327)</f>
        <v>2182.9</v>
      </c>
      <c r="H326" s="99">
        <f>SUM(H327)</f>
        <v>1917.9</v>
      </c>
      <c r="I326" s="65">
        <f t="shared" si="8"/>
        <v>87.86018599111274</v>
      </c>
    </row>
    <row r="327" spans="1:9" ht="24.75" customHeight="1">
      <c r="A327" s="60" t="s">
        <v>324</v>
      </c>
      <c r="B327" s="61" t="s">
        <v>39</v>
      </c>
      <c r="C327" s="61" t="s">
        <v>95</v>
      </c>
      <c r="D327" s="61" t="s">
        <v>139</v>
      </c>
      <c r="E327" s="62">
        <v>0</v>
      </c>
      <c r="F327" s="63"/>
      <c r="G327" s="99">
        <f>SUM(G328:G329)</f>
        <v>2182.9</v>
      </c>
      <c r="H327" s="99">
        <f>SUM(H328:H329)</f>
        <v>1917.9</v>
      </c>
      <c r="I327" s="65">
        <f t="shared" si="8"/>
        <v>87.86018599111274</v>
      </c>
    </row>
    <row r="328" spans="1:9" ht="24">
      <c r="A328" s="60" t="s">
        <v>154</v>
      </c>
      <c r="B328" s="61" t="s">
        <v>39</v>
      </c>
      <c r="C328" s="61" t="s">
        <v>95</v>
      </c>
      <c r="D328" s="61" t="s">
        <v>139</v>
      </c>
      <c r="E328" s="62">
        <v>0</v>
      </c>
      <c r="F328" s="63">
        <v>600</v>
      </c>
      <c r="G328" s="99">
        <v>1200</v>
      </c>
      <c r="H328" s="99">
        <v>935</v>
      </c>
      <c r="I328" s="65">
        <f t="shared" si="8"/>
        <v>77.91666666666667</v>
      </c>
    </row>
    <row r="329" spans="1:9" ht="84">
      <c r="A329" s="60" t="s">
        <v>198</v>
      </c>
      <c r="B329" s="61" t="s">
        <v>39</v>
      </c>
      <c r="C329" s="61" t="s">
        <v>95</v>
      </c>
      <c r="D329" s="61" t="s">
        <v>139</v>
      </c>
      <c r="E329" s="62">
        <v>0</v>
      </c>
      <c r="F329" s="63">
        <v>600</v>
      </c>
      <c r="G329" s="99">
        <f>1049.4+22.1-88.6</f>
        <v>982.9</v>
      </c>
      <c r="H329" s="99">
        <v>982.9</v>
      </c>
      <c r="I329" s="65">
        <f t="shared" si="8"/>
        <v>100</v>
      </c>
    </row>
    <row r="330" spans="1:9" ht="15.75">
      <c r="A330" s="60" t="s">
        <v>284</v>
      </c>
      <c r="B330" s="61" t="s">
        <v>39</v>
      </c>
      <c r="C330" s="61" t="s">
        <v>137</v>
      </c>
      <c r="D330" s="61"/>
      <c r="E330" s="62"/>
      <c r="F330" s="63"/>
      <c r="G330" s="99">
        <f>SUM(G333)</f>
        <v>300</v>
      </c>
      <c r="H330" s="99">
        <f>SUM(H333)</f>
        <v>211.96698</v>
      </c>
      <c r="I330" s="65">
        <f aca="true" t="shared" si="9" ref="I330:I338">SUM(H330/G330)*100</f>
        <v>70.65566</v>
      </c>
    </row>
    <row r="331" spans="1:9" ht="15.75">
      <c r="A331" s="60" t="s">
        <v>337</v>
      </c>
      <c r="B331" s="61" t="s">
        <v>39</v>
      </c>
      <c r="C331" s="61" t="s">
        <v>96</v>
      </c>
      <c r="D331" s="61"/>
      <c r="E331" s="62"/>
      <c r="F331" s="63"/>
      <c r="G331" s="99">
        <f>SUM(G332)</f>
        <v>300</v>
      </c>
      <c r="H331" s="99">
        <f>SUM(H332)</f>
        <v>211.96698</v>
      </c>
      <c r="I331" s="65">
        <f t="shared" si="9"/>
        <v>70.65566</v>
      </c>
    </row>
    <row r="332" spans="1:9" ht="24">
      <c r="A332" s="60" t="s">
        <v>153</v>
      </c>
      <c r="B332" s="61" t="s">
        <v>39</v>
      </c>
      <c r="C332" s="61" t="s">
        <v>96</v>
      </c>
      <c r="D332" s="61" t="s">
        <v>16</v>
      </c>
      <c r="E332" s="62">
        <v>0</v>
      </c>
      <c r="F332" s="63"/>
      <c r="G332" s="99">
        <f>SUM(G333)</f>
        <v>300</v>
      </c>
      <c r="H332" s="99">
        <f>SUM(H333)</f>
        <v>211.96698</v>
      </c>
      <c r="I332" s="65">
        <f t="shared" si="9"/>
        <v>70.65566</v>
      </c>
    </row>
    <row r="333" spans="1:9" ht="15.75">
      <c r="A333" s="60" t="s">
        <v>284</v>
      </c>
      <c r="B333" s="61" t="s">
        <v>39</v>
      </c>
      <c r="C333" s="61" t="s">
        <v>96</v>
      </c>
      <c r="D333" s="61" t="s">
        <v>16</v>
      </c>
      <c r="E333" s="62">
        <v>0</v>
      </c>
      <c r="F333" s="63">
        <v>700</v>
      </c>
      <c r="G333" s="99">
        <f>150-150+300</f>
        <v>300</v>
      </c>
      <c r="H333" s="99">
        <v>211.96698</v>
      </c>
      <c r="I333" s="65">
        <f t="shared" si="9"/>
        <v>70.65566</v>
      </c>
    </row>
    <row r="334" spans="1:9" ht="24">
      <c r="A334" s="60" t="s">
        <v>166</v>
      </c>
      <c r="B334" s="61" t="s">
        <v>39</v>
      </c>
      <c r="C334" s="61" t="s">
        <v>167</v>
      </c>
      <c r="D334" s="61"/>
      <c r="E334" s="62"/>
      <c r="F334" s="63"/>
      <c r="G334" s="99">
        <f aca="true" t="shared" si="10" ref="G334:H336">SUM(G335)</f>
        <v>17843.5</v>
      </c>
      <c r="H334" s="99">
        <f t="shared" si="10"/>
        <v>13382.622</v>
      </c>
      <c r="I334" s="65">
        <f t="shared" si="9"/>
        <v>74.99998318715498</v>
      </c>
    </row>
    <row r="335" spans="1:9" ht="15.75">
      <c r="A335" s="60" t="s">
        <v>168</v>
      </c>
      <c r="B335" s="61" t="s">
        <v>39</v>
      </c>
      <c r="C335" s="61" t="s">
        <v>169</v>
      </c>
      <c r="D335" s="61"/>
      <c r="E335" s="62"/>
      <c r="F335" s="63"/>
      <c r="G335" s="99">
        <f t="shared" si="10"/>
        <v>17843.5</v>
      </c>
      <c r="H335" s="99">
        <f t="shared" si="10"/>
        <v>13382.622</v>
      </c>
      <c r="I335" s="65">
        <f t="shared" si="9"/>
        <v>74.99998318715498</v>
      </c>
    </row>
    <row r="336" spans="1:9" ht="24">
      <c r="A336" s="60" t="s">
        <v>153</v>
      </c>
      <c r="B336" s="61" t="s">
        <v>39</v>
      </c>
      <c r="C336" s="61" t="s">
        <v>169</v>
      </c>
      <c r="D336" s="61" t="s">
        <v>16</v>
      </c>
      <c r="E336" s="62">
        <v>0</v>
      </c>
      <c r="F336" s="63"/>
      <c r="G336" s="99">
        <f t="shared" si="10"/>
        <v>17843.5</v>
      </c>
      <c r="H336" s="99">
        <f t="shared" si="10"/>
        <v>13382.622</v>
      </c>
      <c r="I336" s="65">
        <f t="shared" si="9"/>
        <v>74.99998318715498</v>
      </c>
    </row>
    <row r="337" spans="1:9" ht="15.75">
      <c r="A337" s="60" t="s">
        <v>156</v>
      </c>
      <c r="B337" s="61" t="s">
        <v>39</v>
      </c>
      <c r="C337" s="61" t="s">
        <v>169</v>
      </c>
      <c r="D337" s="61" t="s">
        <v>16</v>
      </c>
      <c r="E337" s="62">
        <v>0</v>
      </c>
      <c r="F337" s="63">
        <v>500</v>
      </c>
      <c r="G337" s="99">
        <f>19767-1923.5</f>
        <v>17843.5</v>
      </c>
      <c r="H337" s="99">
        <v>13382.622</v>
      </c>
      <c r="I337" s="65">
        <f t="shared" si="9"/>
        <v>74.99998318715498</v>
      </c>
    </row>
    <row r="338" spans="1:9" ht="15.75">
      <c r="A338" s="60" t="s">
        <v>97</v>
      </c>
      <c r="B338" s="61"/>
      <c r="C338" s="61"/>
      <c r="D338" s="61"/>
      <c r="E338" s="62"/>
      <c r="F338" s="63"/>
      <c r="G338" s="99">
        <f>SUM(G10+G18+G26)</f>
        <v>456661.46252</v>
      </c>
      <c r="H338" s="99">
        <f>SUM(H10+H18+H26)</f>
        <v>295447.00688</v>
      </c>
      <c r="I338" s="65">
        <f t="shared" si="9"/>
        <v>64.69716214931549</v>
      </c>
    </row>
  </sheetData>
  <sheetProtection/>
  <mergeCells count="7">
    <mergeCell ref="G4:I4"/>
    <mergeCell ref="G8:H8"/>
    <mergeCell ref="G1:I1"/>
    <mergeCell ref="G2:I2"/>
    <mergeCell ref="G3:I3"/>
    <mergeCell ref="A6:I6"/>
    <mergeCell ref="E5:I5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38"/>
  <sheetViews>
    <sheetView showGridLines="0" zoomScale="110" zoomScaleNormal="110" zoomScalePageLayoutView="0" workbookViewId="0" topLeftCell="A1">
      <pane ySplit="9" topLeftCell="A336" activePane="bottomLeft" state="frozen"/>
      <selection pane="topLeft" activeCell="A1" sqref="A1"/>
      <selection pane="bottomLeft" activeCell="A338" sqref="A338:IV338"/>
    </sheetView>
  </sheetViews>
  <sheetFormatPr defaultColWidth="9.140625" defaultRowHeight="12.75" outlineLevelRow="5"/>
  <cols>
    <col min="1" max="1" width="47.140625" style="7" customWidth="1"/>
    <col min="2" max="2" width="4.57421875" style="12" customWidth="1"/>
    <col min="3" max="3" width="4.140625" style="12" customWidth="1"/>
    <col min="4" max="4" width="3.57421875" style="13" customWidth="1"/>
    <col min="5" max="5" width="4.28125" style="11" customWidth="1"/>
    <col min="6" max="6" width="8.8515625" style="2" customWidth="1"/>
    <col min="7" max="16384" width="9.140625" style="2" customWidth="1"/>
  </cols>
  <sheetData>
    <row r="1" spans="1:8" ht="18.75" customHeight="1">
      <c r="A1" s="54"/>
      <c r="B1" s="55"/>
      <c r="C1" s="56"/>
      <c r="D1" s="56"/>
      <c r="E1" s="56"/>
      <c r="F1" s="110"/>
      <c r="G1" s="110"/>
      <c r="H1" s="110"/>
    </row>
    <row r="2" spans="1:8" ht="12.75" customHeight="1">
      <c r="A2" s="54"/>
      <c r="B2" s="110" t="s">
        <v>140</v>
      </c>
      <c r="C2" s="110"/>
      <c r="D2" s="110"/>
      <c r="E2" s="110"/>
      <c r="F2" s="110"/>
      <c r="G2" s="110"/>
      <c r="H2" s="110"/>
    </row>
    <row r="3" spans="1:8" ht="18.75" customHeight="1">
      <c r="A3" s="54"/>
      <c r="B3" s="55"/>
      <c r="C3" s="55"/>
      <c r="D3" s="57"/>
      <c r="E3" s="110" t="s">
        <v>141</v>
      </c>
      <c r="F3" s="110"/>
      <c r="G3" s="110"/>
      <c r="H3" s="110"/>
    </row>
    <row r="4" spans="1:8" ht="18.75" customHeight="1">
      <c r="A4" s="110" t="s">
        <v>151</v>
      </c>
      <c r="B4" s="110"/>
      <c r="C4" s="110"/>
      <c r="D4" s="110"/>
      <c r="E4" s="110"/>
      <c r="F4" s="110"/>
      <c r="G4" s="110"/>
      <c r="H4" s="110"/>
    </row>
    <row r="5" spans="1:5" ht="15">
      <c r="A5" s="8"/>
      <c r="B5" s="1"/>
      <c r="C5" s="1"/>
      <c r="D5" s="5"/>
      <c r="E5" s="10"/>
    </row>
    <row r="6" spans="1:8" ht="33" customHeight="1">
      <c r="A6" s="117" t="s">
        <v>331</v>
      </c>
      <c r="B6" s="117"/>
      <c r="C6" s="117"/>
      <c r="D6" s="117"/>
      <c r="E6" s="117"/>
      <c r="F6" s="117"/>
      <c r="G6" s="117"/>
      <c r="H6" s="117"/>
    </row>
    <row r="7" spans="1:5" ht="7.5" customHeight="1">
      <c r="A7" s="31"/>
      <c r="B7" s="32"/>
      <c r="C7" s="32"/>
      <c r="D7" s="33"/>
      <c r="E7" s="34"/>
    </row>
    <row r="8" spans="1:8" ht="6.75" customHeight="1">
      <c r="A8" s="31"/>
      <c r="B8" s="32"/>
      <c r="C8" s="32"/>
      <c r="D8" s="33"/>
      <c r="E8" s="34"/>
      <c r="F8" s="116"/>
      <c r="G8" s="116"/>
      <c r="H8" s="80" t="s">
        <v>283</v>
      </c>
    </row>
    <row r="9" spans="1:8" ht="87.75" customHeight="1">
      <c r="A9" s="36" t="s">
        <v>1</v>
      </c>
      <c r="B9" s="86" t="s">
        <v>177</v>
      </c>
      <c r="C9" s="94" t="s">
        <v>219</v>
      </c>
      <c r="D9" s="84" t="s">
        <v>8</v>
      </c>
      <c r="E9" s="85" t="s">
        <v>152</v>
      </c>
      <c r="F9" s="35" t="s">
        <v>359</v>
      </c>
      <c r="G9" s="35" t="s">
        <v>349</v>
      </c>
      <c r="H9" s="35" t="s">
        <v>348</v>
      </c>
    </row>
    <row r="10" spans="1:8" s="4" customFormat="1" ht="12.75" outlineLevel="3">
      <c r="A10" s="45" t="str">
        <f>'Приложение 3'!A11</f>
        <v>ОБЩЕГОСУДАРСТВЕННЫЕ ВОПРОСЫ</v>
      </c>
      <c r="B10" s="72" t="str">
        <f>'Приложение 3'!C11</f>
        <v>0100</v>
      </c>
      <c r="C10" s="72"/>
      <c r="D10" s="72"/>
      <c r="E10" s="72"/>
      <c r="F10" s="58">
        <f>SUM(F11+F20+F50+F54+F57+F14+F44+F40)</f>
        <v>81244.7749</v>
      </c>
      <c r="G10" s="58">
        <f>SUM(G11+G20+G50+G54+G57+G14+G44+G40)</f>
        <v>60758.54356999999</v>
      </c>
      <c r="H10" s="58">
        <f aca="true" t="shared" si="0" ref="H10:H73">SUM(G10/F10)*100</f>
        <v>74.78455524651835</v>
      </c>
    </row>
    <row r="11" spans="1:8" s="4" customFormat="1" ht="24" outlineLevel="3">
      <c r="A11" s="45" t="str">
        <f>'Приложение 3'!A28</f>
        <v>Функционирование высшего должностного лица субъекта Российской Федерации и муниципального образования</v>
      </c>
      <c r="B11" s="72" t="str">
        <f>'Приложение 3'!C28</f>
        <v>0102</v>
      </c>
      <c r="C11" s="72"/>
      <c r="D11" s="72"/>
      <c r="E11" s="72"/>
      <c r="F11" s="58">
        <f>SUM(F12)</f>
        <v>2086.4428</v>
      </c>
      <c r="G11" s="58">
        <f>SUM(G12)</f>
        <v>1204.83291</v>
      </c>
      <c r="H11" s="58">
        <f t="shared" si="0"/>
        <v>57.74579154530382</v>
      </c>
    </row>
    <row r="12" spans="1:8" s="4" customFormat="1" ht="36" outlineLevel="3">
      <c r="A12" s="45" t="str">
        <f>'Приложение 3'!A29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72" t="str">
        <f>'Приложение 3'!C29</f>
        <v>0102</v>
      </c>
      <c r="C12" s="72" t="s">
        <v>11</v>
      </c>
      <c r="D12" s="72" t="s">
        <v>9</v>
      </c>
      <c r="E12" s="72">
        <v>100</v>
      </c>
      <c r="F12" s="58">
        <f>SUM(F13)</f>
        <v>2086.4428</v>
      </c>
      <c r="G12" s="58">
        <f>SUM(G13)</f>
        <v>1204.83291</v>
      </c>
      <c r="H12" s="58">
        <f t="shared" si="0"/>
        <v>57.74579154530382</v>
      </c>
    </row>
    <row r="13" spans="1:8" ht="48" outlineLevel="1">
      <c r="A13" s="45" t="str">
        <f>'Приложение 3'!A30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72" t="str">
        <f>'Приложение 3'!C30</f>
        <v>0102</v>
      </c>
      <c r="C13" s="72" t="s">
        <v>11</v>
      </c>
      <c r="D13" s="72">
        <v>0</v>
      </c>
      <c r="E13" s="72">
        <v>100</v>
      </c>
      <c r="F13" s="58">
        <f>SUM('Приложение 3'!G30)</f>
        <v>2086.4428</v>
      </c>
      <c r="G13" s="58">
        <f>SUM('Приложение 3'!H30)</f>
        <v>1204.83291</v>
      </c>
      <c r="H13" s="58">
        <f t="shared" si="0"/>
        <v>57.74579154530382</v>
      </c>
    </row>
    <row r="14" spans="1:8" ht="37.5" customHeight="1" outlineLevel="1">
      <c r="A14" s="45" t="str">
        <f>'Приложение 3'!A12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72" t="str">
        <f>'Приложение 3'!C12</f>
        <v>0103</v>
      </c>
      <c r="C14" s="73"/>
      <c r="D14" s="72"/>
      <c r="E14" s="72"/>
      <c r="F14" s="58">
        <f>SUBTOTAL(9,'Приложение 3'!G11)</f>
        <v>533.5</v>
      </c>
      <c r="G14" s="58">
        <f>SUBTOTAL(9,'Приложение 3'!H11)</f>
        <v>352.07802</v>
      </c>
      <c r="H14" s="58">
        <f t="shared" si="0"/>
        <v>65.99400562324274</v>
      </c>
    </row>
    <row r="15" spans="1:8" ht="24.75" customHeight="1" outlineLevel="1">
      <c r="A15" s="45" t="str">
        <f>'Приложение 3'!A13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72" t="str">
        <f>'Приложение 3'!C13</f>
        <v>0103</v>
      </c>
      <c r="C15" s="73"/>
      <c r="D15" s="72"/>
      <c r="E15" s="72"/>
      <c r="F15" s="58">
        <f>SUBTOTAL(9,'Приложение 3'!G12)</f>
        <v>533.5</v>
      </c>
      <c r="G15" s="58">
        <f>SUBTOTAL(9,'Приложение 3'!H12)</f>
        <v>352.07802</v>
      </c>
      <c r="H15" s="58">
        <f t="shared" si="0"/>
        <v>65.99400562324274</v>
      </c>
    </row>
    <row r="16" spans="1:8" ht="48" outlineLevel="1">
      <c r="A16" s="45" t="str">
        <f>'Приложение 3'!A14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72" t="str">
        <f>'Приложение 3'!C14</f>
        <v>0103</v>
      </c>
      <c r="C16" s="72" t="str">
        <f>'Приложение 3'!D14</f>
        <v>90</v>
      </c>
      <c r="D16" s="72" t="str">
        <f>'Приложение 3'!E14</f>
        <v>0</v>
      </c>
      <c r="E16" s="72">
        <f>'Приложение 3'!F14</f>
        <v>100</v>
      </c>
      <c r="F16" s="58">
        <f>SUBTOTAL(9,'Приложение 3'!G14)</f>
        <v>472.2388</v>
      </c>
      <c r="G16" s="58">
        <f>SUBTOTAL(9,'Приложение 3'!H14)</f>
        <v>316.34232</v>
      </c>
      <c r="H16" s="58">
        <f t="shared" si="0"/>
        <v>66.98778668758263</v>
      </c>
    </row>
    <row r="17" spans="1:8" ht="24" outlineLevel="1">
      <c r="A17" s="45" t="str">
        <f>'Приложение 3'!A15</f>
        <v>Закупка товаров, работ и услуг для государственных (муниципальных) нужд</v>
      </c>
      <c r="B17" s="72" t="str">
        <f>'Приложение 3'!C15</f>
        <v>0103</v>
      </c>
      <c r="C17" s="72" t="str">
        <f>'Приложение 3'!D15</f>
        <v>90</v>
      </c>
      <c r="D17" s="72">
        <f>'Приложение 3'!E15</f>
        <v>0</v>
      </c>
      <c r="E17" s="72">
        <f>'Приложение 3'!F15</f>
        <v>200</v>
      </c>
      <c r="F17" s="58">
        <f>SUBTOTAL(9,'Приложение 3'!G15)</f>
        <v>61.26120000000001</v>
      </c>
      <c r="G17" s="58">
        <f>SUBTOTAL(9,'Приложение 3'!H15)</f>
        <v>35.7357</v>
      </c>
      <c r="H17" s="58">
        <f t="shared" si="0"/>
        <v>58.33333333333333</v>
      </c>
    </row>
    <row r="18" spans="1:8" ht="27.75" customHeight="1" hidden="1" outlineLevel="1">
      <c r="A18" s="45" t="str">
        <f>'Приложение 3'!A16</f>
        <v>Непрограммные расходы органов местного самоуправления Алексеевского муниципального района</v>
      </c>
      <c r="B18" s="72" t="str">
        <f>'Приложение 3'!C16</f>
        <v>0103</v>
      </c>
      <c r="C18" s="72" t="str">
        <f>'Приложение 3'!D16</f>
        <v>99</v>
      </c>
      <c r="D18" s="72">
        <f>'Приложение 3'!E16</f>
        <v>0</v>
      </c>
      <c r="E18" s="74"/>
      <c r="F18" s="58">
        <f>SUBTOTAL(9,'Приложение 3'!G16)</f>
        <v>0</v>
      </c>
      <c r="G18" s="58">
        <f>SUBTOTAL(9,'Приложение 3'!H16)</f>
        <v>0</v>
      </c>
      <c r="H18" s="58" t="e">
        <f t="shared" si="0"/>
        <v>#DIV/0!</v>
      </c>
    </row>
    <row r="19" spans="1:8" ht="12.75" hidden="1" outlineLevel="1">
      <c r="A19" s="45" t="str">
        <f>'Приложение 3'!A17</f>
        <v>Иные бюджетные ассигнования</v>
      </c>
      <c r="B19" s="72" t="str">
        <f>'Приложение 3'!C17</f>
        <v>0103</v>
      </c>
      <c r="C19" s="72" t="str">
        <f>'Приложение 3'!D17</f>
        <v>99</v>
      </c>
      <c r="D19" s="72">
        <f>'Приложение 3'!E17</f>
        <v>0</v>
      </c>
      <c r="E19" s="72">
        <f>'Приложение 3'!F17</f>
        <v>800</v>
      </c>
      <c r="F19" s="58">
        <f>SUBTOTAL(9,'Приложение 3'!G17)</f>
        <v>0</v>
      </c>
      <c r="G19" s="58">
        <f>SUBTOTAL(9,'Приложение 3'!H17)</f>
        <v>0</v>
      </c>
      <c r="H19" s="58" t="e">
        <f t="shared" si="0"/>
        <v>#DIV/0!</v>
      </c>
    </row>
    <row r="20" spans="1:8" ht="36" outlineLevel="2">
      <c r="A20" s="46" t="str">
        <f>'Приложение 3'!A31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73" t="str">
        <f>'Приложение 3'!C31</f>
        <v>0104</v>
      </c>
      <c r="C20" s="73"/>
      <c r="D20" s="73"/>
      <c r="E20" s="73"/>
      <c r="F20" s="58">
        <f>'Приложение 3'!G31</f>
        <v>33720.5072</v>
      </c>
      <c r="G20" s="58">
        <f>'Приложение 3'!H31</f>
        <v>23263.079429999998</v>
      </c>
      <c r="H20" s="58">
        <f t="shared" si="0"/>
        <v>68.98792859794231</v>
      </c>
    </row>
    <row r="21" spans="1:8" s="4" customFormat="1" ht="36" outlineLevel="3">
      <c r="A21" s="46" t="str">
        <f>'Приложение 3'!A32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73" t="str">
        <f>'Приложение 3'!C32</f>
        <v>0104</v>
      </c>
      <c r="C21" s="73" t="str">
        <f>'Приложение 3'!D32</f>
        <v>90</v>
      </c>
      <c r="D21" s="73">
        <f>'Приложение 3'!E32</f>
        <v>0</v>
      </c>
      <c r="E21" s="73"/>
      <c r="F21" s="58">
        <f>'Приложение 3'!G32</f>
        <v>33670.5072</v>
      </c>
      <c r="G21" s="58">
        <f>'Приложение 3'!H32</f>
        <v>23263.079429999998</v>
      </c>
      <c r="H21" s="58">
        <f t="shared" si="0"/>
        <v>69.09037423113126</v>
      </c>
    </row>
    <row r="22" spans="1:8" s="4" customFormat="1" ht="12.75" outlineLevel="3">
      <c r="A22" s="46" t="str">
        <f>'Приложение 3'!A33</f>
        <v>Центральный аппарат</v>
      </c>
      <c r="B22" s="73" t="str">
        <f>'Приложение 3'!C33</f>
        <v>0104</v>
      </c>
      <c r="C22" s="73" t="str">
        <f>'Приложение 3'!D33</f>
        <v>90</v>
      </c>
      <c r="D22" s="73">
        <f>'Приложение 3'!E33</f>
        <v>0</v>
      </c>
      <c r="E22" s="73"/>
      <c r="F22" s="58">
        <f>'Приложение 3'!G33</f>
        <v>31882.407199999998</v>
      </c>
      <c r="G22" s="58">
        <f>'Приложение 3'!H33</f>
        <v>22069.44501</v>
      </c>
      <c r="H22" s="58">
        <f t="shared" si="0"/>
        <v>69.22138868485439</v>
      </c>
    </row>
    <row r="23" spans="1:8" s="4" customFormat="1" ht="48" outlineLevel="3">
      <c r="A23" s="46" t="str">
        <f>'Приложение 3'!A34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73" t="str">
        <f>'Приложение 3'!C34</f>
        <v>0104</v>
      </c>
      <c r="C23" s="73" t="str">
        <f>'Приложение 3'!D34</f>
        <v>90</v>
      </c>
      <c r="D23" s="73">
        <f>'Приложение 3'!E34</f>
        <v>0</v>
      </c>
      <c r="E23" s="73">
        <f>'Приложение 3'!F34</f>
        <v>100</v>
      </c>
      <c r="F23" s="58">
        <f>'Приложение 3'!G34</f>
        <v>30082.407199999998</v>
      </c>
      <c r="G23" s="58">
        <f>'Приложение 3'!H34</f>
        <v>21212.79767</v>
      </c>
      <c r="H23" s="58">
        <f t="shared" si="0"/>
        <v>70.51562572426053</v>
      </c>
    </row>
    <row r="24" spans="1:8" ht="24" outlineLevel="1">
      <c r="A24" s="46" t="str">
        <f>'Приложение 3'!A35</f>
        <v>Закупка товаров, работ и услуг для государственных (муниципальных) нужд</v>
      </c>
      <c r="B24" s="73" t="str">
        <f>'Приложение 3'!C35</f>
        <v>0104</v>
      </c>
      <c r="C24" s="73" t="str">
        <f>'Приложение 3'!D35</f>
        <v>90</v>
      </c>
      <c r="D24" s="73">
        <f>'Приложение 3'!E35</f>
        <v>0</v>
      </c>
      <c r="E24" s="73">
        <f>'Приложение 3'!F35</f>
        <v>200</v>
      </c>
      <c r="F24" s="58">
        <f>'Приложение 3'!G35</f>
        <v>1800</v>
      </c>
      <c r="G24" s="58">
        <f>'Приложение 3'!H35</f>
        <v>856.64734</v>
      </c>
      <c r="H24" s="58">
        <f t="shared" si="0"/>
        <v>47.59151888888889</v>
      </c>
    </row>
    <row r="25" spans="1:8" ht="36" outlineLevel="2">
      <c r="A25" s="46" t="str">
        <f>'Приложение 3'!A36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73" t="str">
        <f>'Приложение 3'!C36</f>
        <v>0104</v>
      </c>
      <c r="C25" s="73" t="str">
        <f>'Приложение 3'!D36</f>
        <v>90</v>
      </c>
      <c r="D25" s="73" t="str">
        <f>'Приложение 3'!E36</f>
        <v>0</v>
      </c>
      <c r="E25" s="73"/>
      <c r="F25" s="58">
        <f>'Приложение 3'!G36</f>
        <v>1788.1</v>
      </c>
      <c r="G25" s="58">
        <f>'Приложение 3'!H36</f>
        <v>1193.63442</v>
      </c>
      <c r="H25" s="58">
        <f t="shared" si="0"/>
        <v>66.75434371679437</v>
      </c>
    </row>
    <row r="26" spans="1:8" ht="25.5" customHeight="1" outlineLevel="2">
      <c r="A26" s="46" t="str">
        <f>'Приложение 3'!A37</f>
        <v>За счет субвенции на организационное обеспечение деятельности территориальных административных комиссий</v>
      </c>
      <c r="B26" s="73" t="str">
        <f>'Приложение 3'!C37</f>
        <v>0104</v>
      </c>
      <c r="C26" s="73" t="str">
        <f>'Приложение 3'!D37</f>
        <v>90</v>
      </c>
      <c r="D26" s="73" t="str">
        <f>'Приложение 3'!E37</f>
        <v>0</v>
      </c>
      <c r="E26" s="73"/>
      <c r="F26" s="58">
        <f>'Приложение 3'!G37</f>
        <v>307.7</v>
      </c>
      <c r="G26" s="58">
        <f>'Приложение 3'!H37</f>
        <v>222.42342</v>
      </c>
      <c r="H26" s="58">
        <f t="shared" si="0"/>
        <v>72.28580435489113</v>
      </c>
    </row>
    <row r="27" spans="1:8" ht="48.75" customHeight="1" collapsed="1">
      <c r="A27" s="46" t="str">
        <f>'Приложение 3'!A38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73" t="s">
        <v>40</v>
      </c>
      <c r="C27" s="73" t="s">
        <v>11</v>
      </c>
      <c r="D27" s="71">
        <v>0</v>
      </c>
      <c r="E27" s="72">
        <v>100</v>
      </c>
      <c r="F27" s="58">
        <f>'Приложение 3'!G38</f>
        <v>307.7</v>
      </c>
      <c r="G27" s="58">
        <f>'Приложение 3'!H38</f>
        <v>222.42342</v>
      </c>
      <c r="H27" s="58">
        <f t="shared" si="0"/>
        <v>72.28580435489113</v>
      </c>
    </row>
    <row r="28" spans="1:8" ht="24" hidden="1" outlineLevel="1">
      <c r="A28" s="46" t="str">
        <f>'Приложение 3'!A39</f>
        <v>Закупка товаров, работ и услуг для государственных (муниципальных) нужд</v>
      </c>
      <c r="B28" s="73" t="str">
        <f>'Приложение 3'!C39</f>
        <v>0104</v>
      </c>
      <c r="C28" s="73" t="str">
        <f>'Приложение 3'!D39</f>
        <v>90</v>
      </c>
      <c r="D28" s="73" t="str">
        <f>'Приложение 3'!E39</f>
        <v>0</v>
      </c>
      <c r="E28" s="73">
        <f>'Приложение 3'!F39</f>
        <v>200</v>
      </c>
      <c r="F28" s="58">
        <f>'Приложение 3'!G39</f>
        <v>0</v>
      </c>
      <c r="G28" s="58">
        <f>'Приложение 3'!H39</f>
        <v>0</v>
      </c>
      <c r="H28" s="58" t="e">
        <f t="shared" si="0"/>
        <v>#DIV/0!</v>
      </c>
    </row>
    <row r="29" spans="1:8" ht="24" outlineLevel="2">
      <c r="A29" s="46" t="str">
        <f>'Приложение 3'!A40</f>
        <v>За счет субвенции на организацию и осуществление деятельности по опеке и попечительству</v>
      </c>
      <c r="B29" s="73" t="str">
        <f>'Приложение 3'!C40</f>
        <v>0104</v>
      </c>
      <c r="C29" s="73" t="str">
        <f>'Приложение 3'!D40</f>
        <v>90</v>
      </c>
      <c r="D29" s="73" t="str">
        <f>'Приложение 3'!E40</f>
        <v>0</v>
      </c>
      <c r="E29" s="73"/>
      <c r="F29" s="58">
        <f>'Приложение 3'!G40</f>
        <v>688.4</v>
      </c>
      <c r="G29" s="58">
        <f>'Приложение 3'!H40</f>
        <v>570.69442</v>
      </c>
      <c r="H29" s="58">
        <f t="shared" si="0"/>
        <v>82.90157176060431</v>
      </c>
    </row>
    <row r="30" spans="1:8" ht="48" outlineLevel="1">
      <c r="A30" s="46" t="str">
        <f>'Приложение 3'!A41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73" t="str">
        <f>'Приложение 3'!C41</f>
        <v>0104</v>
      </c>
      <c r="C30" s="73" t="str">
        <f>'Приложение 3'!D41</f>
        <v>90</v>
      </c>
      <c r="D30" s="73" t="str">
        <f>'Приложение 3'!E41</f>
        <v>0</v>
      </c>
      <c r="E30" s="73">
        <f>'Приложение 3'!F41</f>
        <v>100</v>
      </c>
      <c r="F30" s="58">
        <f>'Приложение 3'!G41</f>
        <v>678.4</v>
      </c>
      <c r="G30" s="58">
        <f>'Приложение 3'!H41</f>
        <v>564.12915</v>
      </c>
      <c r="H30" s="58">
        <f t="shared" si="0"/>
        <v>83.15582989386793</v>
      </c>
    </row>
    <row r="31" spans="1:8" ht="24" outlineLevel="5">
      <c r="A31" s="46" t="str">
        <f>'Приложение 3'!A42</f>
        <v>Закупка товаров, работ и услуг для государственных (муниципальных) нужд</v>
      </c>
      <c r="B31" s="73" t="str">
        <f>'Приложение 3'!C42</f>
        <v>0104</v>
      </c>
      <c r="C31" s="73" t="str">
        <f>'Приложение 3'!D42</f>
        <v>90</v>
      </c>
      <c r="D31" s="73" t="str">
        <f>'Приложение 3'!E42</f>
        <v>0</v>
      </c>
      <c r="E31" s="73">
        <f>'Приложение 3'!F42</f>
        <v>200</v>
      </c>
      <c r="F31" s="58">
        <f>'Приложение 3'!G42</f>
        <v>10</v>
      </c>
      <c r="G31" s="58">
        <f>'Приложение 3'!H42</f>
        <v>6.56527</v>
      </c>
      <c r="H31" s="58">
        <f t="shared" si="0"/>
        <v>65.6527</v>
      </c>
    </row>
    <row r="32" spans="1:8" ht="39.75" customHeight="1" outlineLevel="5">
      <c r="A32" s="46" t="str">
        <f>'Приложение 3'!A43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73" t="str">
        <f>'Приложение 3'!C43</f>
        <v>0104</v>
      </c>
      <c r="C32" s="73" t="str">
        <f>'Приложение 3'!D43</f>
        <v>90</v>
      </c>
      <c r="D32" s="73" t="str">
        <f>'Приложение 3'!E43</f>
        <v>0</v>
      </c>
      <c r="E32" s="73"/>
      <c r="F32" s="58">
        <f>'Приложение 3'!G43</f>
        <v>328</v>
      </c>
      <c r="G32" s="58">
        <f>'Приложение 3'!H43</f>
        <v>241.54225</v>
      </c>
      <c r="H32" s="58">
        <f t="shared" si="0"/>
        <v>73.64092987804878</v>
      </c>
    </row>
    <row r="33" spans="1:8" ht="48" outlineLevel="5">
      <c r="A33" s="46" t="str">
        <f>'Приложение 3'!A44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73" t="str">
        <f>'Приложение 3'!C44</f>
        <v>0104</v>
      </c>
      <c r="C33" s="73" t="str">
        <f>'Приложение 3'!D44</f>
        <v>90</v>
      </c>
      <c r="D33" s="73" t="str">
        <f>'Приложение 3'!E44</f>
        <v>0</v>
      </c>
      <c r="E33" s="73">
        <f>'Приложение 3'!F44</f>
        <v>100</v>
      </c>
      <c r="F33" s="58">
        <f>'Приложение 3'!G44</f>
        <v>328</v>
      </c>
      <c r="G33" s="58">
        <f>'Приложение 3'!H44</f>
        <v>241.54225</v>
      </c>
      <c r="H33" s="58">
        <f t="shared" si="0"/>
        <v>73.64092987804878</v>
      </c>
    </row>
    <row r="34" spans="1:8" ht="24" hidden="1" outlineLevel="2">
      <c r="A34" s="46" t="str">
        <f>'Приложение 3'!A45</f>
        <v>Закупка товаров, работ и услуг для государственных (муниципальных) нужд</v>
      </c>
      <c r="B34" s="73" t="str">
        <f>'Приложение 3'!C45</f>
        <v>0104</v>
      </c>
      <c r="C34" s="73" t="str">
        <f>'Приложение 3'!D45</f>
        <v>90</v>
      </c>
      <c r="D34" s="73" t="str">
        <f>'Приложение 3'!E45</f>
        <v>0</v>
      </c>
      <c r="E34" s="73">
        <f>'Приложение 3'!F45</f>
        <v>200</v>
      </c>
      <c r="F34" s="58">
        <f>'Приложение 3'!G45</f>
        <v>0</v>
      </c>
      <c r="G34" s="58">
        <f>'Приложение 3'!H45</f>
        <v>0</v>
      </c>
      <c r="H34" s="58" t="e">
        <f t="shared" si="0"/>
        <v>#DIV/0!</v>
      </c>
    </row>
    <row r="35" spans="1:8" ht="48" outlineLevel="4">
      <c r="A35" s="46" t="str">
        <f>'Приложение 3'!A46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73" t="str">
        <f>'Приложение 3'!C46</f>
        <v>0104</v>
      </c>
      <c r="C35" s="73" t="str">
        <f>'Приложение 3'!D46</f>
        <v>90</v>
      </c>
      <c r="D35" s="73" t="str">
        <f>'Приложение 3'!E46</f>
        <v>0</v>
      </c>
      <c r="E35" s="73"/>
      <c r="F35" s="58">
        <f>'Приложение 3'!G46</f>
        <v>464</v>
      </c>
      <c r="G35" s="58">
        <f>'Приложение 3'!H46</f>
        <v>158.97433</v>
      </c>
      <c r="H35" s="58">
        <f t="shared" si="0"/>
        <v>34.26170905172414</v>
      </c>
    </row>
    <row r="36" spans="1:8" ht="48" outlineLevel="4">
      <c r="A36" s="46" t="str">
        <f>'Приложение 3'!A47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73" t="str">
        <f>'Приложение 3'!C47</f>
        <v>0104</v>
      </c>
      <c r="C36" s="73" t="str">
        <f>'Приложение 3'!D47</f>
        <v>90</v>
      </c>
      <c r="D36" s="73" t="str">
        <f>'Приложение 3'!E47</f>
        <v>0</v>
      </c>
      <c r="E36" s="73">
        <f>'Приложение 3'!F47</f>
        <v>100</v>
      </c>
      <c r="F36" s="58">
        <f>'Приложение 3'!G47</f>
        <v>62</v>
      </c>
      <c r="G36" s="58">
        <f>'Приложение 3'!H47</f>
        <v>0</v>
      </c>
      <c r="H36" s="58">
        <f t="shared" si="0"/>
        <v>0</v>
      </c>
    </row>
    <row r="37" spans="1:8" ht="24" outlineLevel="5">
      <c r="A37" s="46" t="str">
        <f>'Приложение 3'!A48</f>
        <v>Закупка товаров, работ и услуг для государственных (муниципальных) нужд</v>
      </c>
      <c r="B37" s="73" t="str">
        <f>'Приложение 3'!C48</f>
        <v>0104</v>
      </c>
      <c r="C37" s="73" t="str">
        <f>'Приложение 3'!D48</f>
        <v>90</v>
      </c>
      <c r="D37" s="73" t="str">
        <f>'Приложение 3'!E48</f>
        <v>0</v>
      </c>
      <c r="E37" s="73">
        <f>'Приложение 3'!F48</f>
        <v>200</v>
      </c>
      <c r="F37" s="58">
        <f>'Приложение 3'!G48</f>
        <v>402</v>
      </c>
      <c r="G37" s="58">
        <f>'Приложение 3'!H48</f>
        <v>158.97433</v>
      </c>
      <c r="H37" s="58">
        <f t="shared" si="0"/>
        <v>39.54585323383085</v>
      </c>
    </row>
    <row r="38" spans="1:8" ht="36" outlineLevel="4">
      <c r="A38" s="46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73" t="str">
        <f>'Приложение 3'!C49</f>
        <v>0104</v>
      </c>
      <c r="C38" s="73" t="str">
        <f>'Приложение 3'!D49</f>
        <v>01</v>
      </c>
      <c r="D38" s="73">
        <f>'Приложение 3'!E49</f>
        <v>0</v>
      </c>
      <c r="E38" s="73"/>
      <c r="F38" s="58">
        <f>'Приложение 3'!G49</f>
        <v>50</v>
      </c>
      <c r="G38" s="58">
        <f>'Приложение 3'!H49</f>
        <v>0</v>
      </c>
      <c r="H38" s="58">
        <f t="shared" si="0"/>
        <v>0</v>
      </c>
    </row>
    <row r="39" spans="1:8" ht="27" customHeight="1" outlineLevel="4">
      <c r="A39" s="46" t="str">
        <f>'Приложение 3'!A50</f>
        <v>Закупка товаров, работ и услуг для государственных (муниципальных) нужд</v>
      </c>
      <c r="B39" s="73" t="str">
        <f>'Приложение 3'!C50</f>
        <v>0104</v>
      </c>
      <c r="C39" s="73" t="str">
        <f>'Приложение 3'!D50</f>
        <v>01</v>
      </c>
      <c r="D39" s="73">
        <f>'Приложение 3'!E50</f>
        <v>0</v>
      </c>
      <c r="E39" s="73">
        <f>'Приложение 3'!F50</f>
        <v>200</v>
      </c>
      <c r="F39" s="58">
        <f>'Приложение 3'!G50</f>
        <v>50</v>
      </c>
      <c r="G39" s="58">
        <f>'Приложение 3'!H50</f>
        <v>0</v>
      </c>
      <c r="H39" s="58">
        <f t="shared" si="0"/>
        <v>0</v>
      </c>
    </row>
    <row r="40" spans="1:8" ht="12.75" outlineLevel="4">
      <c r="A40" s="46" t="str">
        <f>'Приложение 3'!A51</f>
        <v>Судебная система</v>
      </c>
      <c r="B40" s="73" t="str">
        <f>'Приложение 3'!C51</f>
        <v>0105</v>
      </c>
      <c r="C40" s="73"/>
      <c r="D40" s="73"/>
      <c r="E40" s="73"/>
      <c r="F40" s="58">
        <f>'Приложение 3'!G51</f>
        <v>62.2</v>
      </c>
      <c r="G40" s="58">
        <f>'Приложение 3'!H51</f>
        <v>62.2</v>
      </c>
      <c r="H40" s="58">
        <f t="shared" si="0"/>
        <v>100</v>
      </c>
    </row>
    <row r="41" spans="1:8" ht="36" outlineLevel="4">
      <c r="A41" s="46" t="str">
        <f>'Приложение 3'!A52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73" t="str">
        <f>'Приложение 3'!C52</f>
        <v>0105</v>
      </c>
      <c r="C41" s="73" t="str">
        <f>'Приложение 3'!D52</f>
        <v>99</v>
      </c>
      <c r="D41" s="73">
        <f>'Приложение 3'!E52</f>
        <v>0</v>
      </c>
      <c r="E41" s="73"/>
      <c r="F41" s="58">
        <f>'Приложение 3'!G52</f>
        <v>62.2</v>
      </c>
      <c r="G41" s="58">
        <f>'Приложение 3'!H52</f>
        <v>62.2</v>
      </c>
      <c r="H41" s="58">
        <f t="shared" si="0"/>
        <v>100</v>
      </c>
    </row>
    <row r="42" spans="1:8" ht="24" outlineLevel="4">
      <c r="A42" s="46" t="str">
        <f>'Приложение 3'!A53</f>
        <v>Непрограммные расходы органов местного самоуправления Алексеевского муниципального района</v>
      </c>
      <c r="B42" s="73" t="str">
        <f>'Приложение 3'!C53</f>
        <v>0105</v>
      </c>
      <c r="C42" s="73" t="str">
        <f>'Приложение 3'!D53</f>
        <v>99</v>
      </c>
      <c r="D42" s="73">
        <f>'Приложение 3'!E53</f>
        <v>0</v>
      </c>
      <c r="E42" s="73"/>
      <c r="F42" s="58">
        <f>'Приложение 3'!G53</f>
        <v>62.2</v>
      </c>
      <c r="G42" s="58">
        <f>'Приложение 3'!H53</f>
        <v>62.2</v>
      </c>
      <c r="H42" s="58">
        <f t="shared" si="0"/>
        <v>100</v>
      </c>
    </row>
    <row r="43" spans="1:8" ht="24" outlineLevel="4">
      <c r="A43" s="46" t="str">
        <f>'Приложение 3'!A54</f>
        <v>Закупка товаров, работ и услуг для государственных (муниципальных) нужд</v>
      </c>
      <c r="B43" s="73" t="str">
        <f>'Приложение 3'!C54</f>
        <v>0105</v>
      </c>
      <c r="C43" s="73" t="str">
        <f>'Приложение 3'!D54</f>
        <v>99</v>
      </c>
      <c r="D43" s="73">
        <f>'Приложение 3'!E54</f>
        <v>0</v>
      </c>
      <c r="E43" s="73">
        <f>'Приложение 3'!F54</f>
        <v>200</v>
      </c>
      <c r="F43" s="58">
        <f>'Приложение 3'!G54</f>
        <v>62.2</v>
      </c>
      <c r="G43" s="58">
        <f>'Приложение 3'!H54</f>
        <v>62.2</v>
      </c>
      <c r="H43" s="58">
        <f t="shared" si="0"/>
        <v>100</v>
      </c>
    </row>
    <row r="44" spans="1:8" ht="36" outlineLevel="2">
      <c r="A44" s="45" t="str">
        <f>'Приложение 3'!A20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73" t="str">
        <f>'Приложение 3'!C20</f>
        <v>0106</v>
      </c>
      <c r="C44" s="73"/>
      <c r="D44" s="73"/>
      <c r="E44" s="73"/>
      <c r="F44" s="58">
        <f>'Приложение 3'!G19</f>
        <v>1652.5</v>
      </c>
      <c r="G44" s="58">
        <f>'Приложение 3'!H19</f>
        <v>1150.59875</v>
      </c>
      <c r="H44" s="58">
        <f t="shared" si="0"/>
        <v>69.62776096822995</v>
      </c>
    </row>
    <row r="45" spans="1:8" ht="36" outlineLevel="2">
      <c r="A45" s="45" t="str">
        <f>'Приложение 3'!A21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73" t="str">
        <f>'Приложение 3'!C21</f>
        <v>0106</v>
      </c>
      <c r="C45" s="73" t="str">
        <f>'Приложение 3'!D21</f>
        <v>90</v>
      </c>
      <c r="D45" s="73" t="str">
        <f>'Приложение 3'!E21</f>
        <v>0</v>
      </c>
      <c r="E45" s="73"/>
      <c r="F45" s="58">
        <f>'Приложение 3'!G20</f>
        <v>1652.5</v>
      </c>
      <c r="G45" s="58">
        <f>'Приложение 3'!H20</f>
        <v>1150.59875</v>
      </c>
      <c r="H45" s="58">
        <f t="shared" si="0"/>
        <v>69.62776096822995</v>
      </c>
    </row>
    <row r="46" spans="1:8" ht="48" outlineLevel="2">
      <c r="A46" s="45" t="str">
        <f>'Приложение 3'!A22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73" t="str">
        <f>'Приложение 3'!C22</f>
        <v>0106</v>
      </c>
      <c r="C46" s="73" t="str">
        <f>'Приложение 3'!D22</f>
        <v>90</v>
      </c>
      <c r="D46" s="73" t="str">
        <f>'Приложение 3'!E22</f>
        <v>0</v>
      </c>
      <c r="E46" s="73">
        <f>'Приложение 3'!F22</f>
        <v>100</v>
      </c>
      <c r="F46" s="58">
        <f>'Приложение 3'!G22</f>
        <v>1627</v>
      </c>
      <c r="G46" s="58">
        <f>'Приложение 3'!H22</f>
        <v>1145.59875</v>
      </c>
      <c r="H46" s="58">
        <f t="shared" si="0"/>
        <v>70.41172403196066</v>
      </c>
    </row>
    <row r="47" spans="1:8" ht="24" outlineLevel="2">
      <c r="A47" s="45" t="str">
        <f>'Приложение 3'!A23</f>
        <v>Закупка товаров, работ и услуг для государственных (муниципальных) нужд</v>
      </c>
      <c r="B47" s="73" t="str">
        <f>'Приложение 3'!C23</f>
        <v>0106</v>
      </c>
      <c r="C47" s="73" t="str">
        <f>'Приложение 3'!D23</f>
        <v>90</v>
      </c>
      <c r="D47" s="73">
        <f>'Приложение 3'!E23</f>
        <v>0</v>
      </c>
      <c r="E47" s="73">
        <f>'Приложение 3'!F23</f>
        <v>200</v>
      </c>
      <c r="F47" s="58">
        <f>'Приложение 3'!G23</f>
        <v>20</v>
      </c>
      <c r="G47" s="58">
        <f>'Приложение 3'!H23</f>
        <v>0</v>
      </c>
      <c r="H47" s="58">
        <f t="shared" si="0"/>
        <v>0</v>
      </c>
    </row>
    <row r="48" spans="1:8" ht="28.5" customHeight="1" outlineLevel="2">
      <c r="A48" s="45" t="str">
        <f>'Приложение 3'!A24</f>
        <v>Непрограммные расходы органов местного самоуправления Алексеевского муниципального района</v>
      </c>
      <c r="B48" s="73" t="str">
        <f>'Приложение 3'!C24</f>
        <v>0106</v>
      </c>
      <c r="C48" s="73" t="str">
        <f>'Приложение 3'!D24</f>
        <v>99</v>
      </c>
      <c r="D48" s="73">
        <f>'Приложение 3'!E24</f>
        <v>0</v>
      </c>
      <c r="E48" s="73"/>
      <c r="F48" s="58">
        <f>'Приложение 3'!G24</f>
        <v>5.5</v>
      </c>
      <c r="G48" s="58">
        <f>'Приложение 3'!H24</f>
        <v>5</v>
      </c>
      <c r="H48" s="58">
        <f t="shared" si="0"/>
        <v>90.9090909090909</v>
      </c>
    </row>
    <row r="49" spans="1:8" ht="12.75" outlineLevel="2">
      <c r="A49" s="45" t="str">
        <f>'Приложение 3'!A25</f>
        <v>Иные бюджетные ассигнования</v>
      </c>
      <c r="B49" s="73" t="str">
        <f>'Приложение 3'!C25</f>
        <v>0106</v>
      </c>
      <c r="C49" s="73" t="str">
        <f>'Приложение 3'!D25</f>
        <v>99</v>
      </c>
      <c r="D49" s="73">
        <f>'Приложение 3'!E25</f>
        <v>0</v>
      </c>
      <c r="E49" s="73">
        <f>'Приложение 3'!F25</f>
        <v>800</v>
      </c>
      <c r="F49" s="58">
        <f>'Приложение 3'!G25</f>
        <v>5.5</v>
      </c>
      <c r="G49" s="58">
        <f>'Приложение 3'!H25</f>
        <v>5</v>
      </c>
      <c r="H49" s="58">
        <f t="shared" si="0"/>
        <v>90.9090909090909</v>
      </c>
    </row>
    <row r="50" spans="1:8" ht="1.5" customHeight="1" hidden="1" outlineLevel="2">
      <c r="A50" s="45" t="str">
        <f>'Приложение 3'!A55</f>
        <v>Обеспечение проведения выборов и референдумов</v>
      </c>
      <c r="B50" s="73" t="str">
        <f>'Приложение 3'!C55</f>
        <v>0107</v>
      </c>
      <c r="C50" s="73"/>
      <c r="D50" s="73"/>
      <c r="E50" s="73"/>
      <c r="F50" s="58">
        <f>'Приложение 3'!G55</f>
        <v>0</v>
      </c>
      <c r="G50" s="58">
        <f>'Приложение 3'!H55</f>
        <v>0</v>
      </c>
      <c r="H50" s="58" t="e">
        <f t="shared" si="0"/>
        <v>#DIV/0!</v>
      </c>
    </row>
    <row r="51" spans="1:8" ht="0.75" customHeight="1" hidden="1" outlineLevel="2">
      <c r="A51" s="45" t="str">
        <f>'Приложение 3'!A56</f>
        <v>Проведение выборов и референдумов</v>
      </c>
      <c r="B51" s="73" t="str">
        <f>'Приложение 3'!C56</f>
        <v>0107</v>
      </c>
      <c r="C51" s="73" t="str">
        <f>'Приложение 3'!D56</f>
        <v>99</v>
      </c>
      <c r="D51" s="73" t="str">
        <f>'Приложение 3'!E56</f>
        <v>0</v>
      </c>
      <c r="E51" s="73"/>
      <c r="F51" s="58">
        <f>'Приложение 3'!G56</f>
        <v>0</v>
      </c>
      <c r="G51" s="58">
        <f>'Приложение 3'!H56</f>
        <v>0</v>
      </c>
      <c r="H51" s="58" t="e">
        <f t="shared" si="0"/>
        <v>#DIV/0!</v>
      </c>
    </row>
    <row r="52" spans="1:8" ht="30" customHeight="1" hidden="1" outlineLevel="5">
      <c r="A52" s="45" t="str">
        <f>'Приложение 3'!A57</f>
        <v>Непрограммные расходы органов местного самоуправления Алексеевского муниципального района</v>
      </c>
      <c r="B52" s="73" t="str">
        <f>'Приложение 3'!C57</f>
        <v>0107</v>
      </c>
      <c r="C52" s="73" t="str">
        <f>'Приложение 3'!D57</f>
        <v>99</v>
      </c>
      <c r="D52" s="73" t="str">
        <f>'Приложение 3'!E57</f>
        <v>0</v>
      </c>
      <c r="E52" s="73"/>
      <c r="F52" s="58">
        <f>'Приложение 3'!G57</f>
        <v>0</v>
      </c>
      <c r="G52" s="58">
        <f>'Приложение 3'!H57</f>
        <v>0</v>
      </c>
      <c r="H52" s="58" t="e">
        <f t="shared" si="0"/>
        <v>#DIV/0!</v>
      </c>
    </row>
    <row r="53" spans="1:8" ht="24" hidden="1" outlineLevel="5">
      <c r="A53" s="45" t="str">
        <f>'Приложение 3'!A58</f>
        <v>Закупка товаров, работ и услуг для государственных (муниципальных) нужд</v>
      </c>
      <c r="B53" s="73" t="str">
        <f>'Приложение 3'!C58</f>
        <v>0107</v>
      </c>
      <c r="C53" s="73" t="str">
        <f>'Приложение 3'!D58</f>
        <v>99</v>
      </c>
      <c r="D53" s="73">
        <f>'Приложение 3'!E58</f>
        <v>0</v>
      </c>
      <c r="E53" s="73">
        <f>'Приложение 3'!F58</f>
        <v>200</v>
      </c>
      <c r="F53" s="58">
        <f>'Приложение 3'!G58</f>
        <v>0</v>
      </c>
      <c r="G53" s="58">
        <f>'Приложение 3'!H58</f>
        <v>0</v>
      </c>
      <c r="H53" s="58" t="e">
        <f t="shared" si="0"/>
        <v>#DIV/0!</v>
      </c>
    </row>
    <row r="54" spans="1:8" ht="12.75" outlineLevel="5">
      <c r="A54" s="45" t="str">
        <f>'Приложение 3'!A59</f>
        <v>Резервные фонды</v>
      </c>
      <c r="B54" s="73" t="str">
        <f>'Приложение 3'!C59</f>
        <v>0111</v>
      </c>
      <c r="C54" s="73"/>
      <c r="D54" s="73"/>
      <c r="E54" s="73"/>
      <c r="F54" s="58">
        <f>'Приложение 3'!G59</f>
        <v>320</v>
      </c>
      <c r="G54" s="58">
        <f>'Приложение 3'!H59</f>
        <v>0</v>
      </c>
      <c r="H54" s="58">
        <f t="shared" si="0"/>
        <v>0</v>
      </c>
    </row>
    <row r="55" spans="1:8" ht="28.5" customHeight="1" outlineLevel="1">
      <c r="A55" s="45" t="str">
        <f>'Приложение 3'!A60</f>
        <v>Непрограммные расходы органов местного самоуправления Алексеевского муниципального района</v>
      </c>
      <c r="B55" s="73" t="str">
        <f>'Приложение 3'!C60</f>
        <v>0111</v>
      </c>
      <c r="C55" s="73" t="str">
        <f>'Приложение 3'!D60</f>
        <v>99</v>
      </c>
      <c r="D55" s="73" t="str">
        <f>'Приложение 3'!E60</f>
        <v>0</v>
      </c>
      <c r="E55" s="73"/>
      <c r="F55" s="58">
        <f>'Приложение 3'!G60</f>
        <v>320</v>
      </c>
      <c r="G55" s="58">
        <f>'Приложение 3'!H60</f>
        <v>0</v>
      </c>
      <c r="H55" s="58">
        <f t="shared" si="0"/>
        <v>0</v>
      </c>
    </row>
    <row r="56" spans="1:8" ht="17.25" customHeight="1" outlineLevel="2">
      <c r="A56" s="45" t="str">
        <f>'Приложение 3'!A61</f>
        <v>Иные бюджетные ассигнования</v>
      </c>
      <c r="B56" s="73" t="str">
        <f>'Приложение 3'!C61</f>
        <v>0111</v>
      </c>
      <c r="C56" s="73" t="str">
        <f>'Приложение 3'!D61</f>
        <v>99</v>
      </c>
      <c r="D56" s="73" t="str">
        <f>'Приложение 3'!E61</f>
        <v>0</v>
      </c>
      <c r="E56" s="73">
        <f>'Приложение 3'!F61</f>
        <v>800</v>
      </c>
      <c r="F56" s="58">
        <f>'Приложение 3'!G61</f>
        <v>320</v>
      </c>
      <c r="G56" s="58">
        <f>'Приложение 3'!H61</f>
        <v>0</v>
      </c>
      <c r="H56" s="58">
        <f t="shared" si="0"/>
        <v>0</v>
      </c>
    </row>
    <row r="57" spans="1:8" ht="15" customHeight="1" outlineLevel="2">
      <c r="A57" s="45" t="str">
        <f>'Приложение 3'!A62</f>
        <v>Другие общегосударственные вопросы</v>
      </c>
      <c r="B57" s="73" t="str">
        <f>'Приложение 3'!C62</f>
        <v>0113</v>
      </c>
      <c r="C57" s="73"/>
      <c r="D57" s="73"/>
      <c r="E57" s="73"/>
      <c r="F57" s="58">
        <f>'Приложение 3'!G62</f>
        <v>42869.6249</v>
      </c>
      <c r="G57" s="58">
        <f>'Приложение 3'!H62</f>
        <v>34725.75445999999</v>
      </c>
      <c r="H57" s="58">
        <f t="shared" si="0"/>
        <v>81.00316842287086</v>
      </c>
    </row>
    <row r="58" spans="1:8" ht="36" outlineLevel="2">
      <c r="A58" s="45" t="str">
        <f>'Приложение 3'!A63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73" t="str">
        <f>'Приложение 3'!C63</f>
        <v>0113</v>
      </c>
      <c r="C58" s="73" t="str">
        <f>'Приложение 3'!D63</f>
        <v>02</v>
      </c>
      <c r="D58" s="73">
        <f>'Приложение 3'!E63</f>
        <v>0</v>
      </c>
      <c r="E58" s="73"/>
      <c r="F58" s="58">
        <f>'Приложение 3'!G63</f>
        <v>150</v>
      </c>
      <c r="G58" s="58">
        <f>'Приложение 3'!H63</f>
        <v>122.7558</v>
      </c>
      <c r="H58" s="58">
        <f t="shared" si="0"/>
        <v>81.8372</v>
      </c>
    </row>
    <row r="59" spans="1:8" ht="36" hidden="1" outlineLevel="2">
      <c r="A59" s="45" t="str">
        <f>'Приложение 3'!A64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73" t="str">
        <f>'Приложение 3'!C64</f>
        <v>0113</v>
      </c>
      <c r="C59" s="73" t="str">
        <f>'Приложение 3'!D64</f>
        <v>02</v>
      </c>
      <c r="D59" s="73">
        <f>'Приложение 3'!E64</f>
        <v>3</v>
      </c>
      <c r="E59" s="73"/>
      <c r="F59" s="58">
        <f>'Приложение 3'!G64</f>
        <v>0</v>
      </c>
      <c r="G59" s="58">
        <f>'Приложение 3'!H64</f>
        <v>0</v>
      </c>
      <c r="H59" s="58" t="e">
        <f t="shared" si="0"/>
        <v>#DIV/0!</v>
      </c>
    </row>
    <row r="60" spans="1:8" ht="24" hidden="1" outlineLevel="2">
      <c r="A60" s="45" t="str">
        <f>'Приложение 3'!A65</f>
        <v>Предоставление субсидий бюджетным, автономным учреждениям и иным некоммерческим организациям</v>
      </c>
      <c r="B60" s="73" t="str">
        <f>'Приложение 3'!C65</f>
        <v>0113</v>
      </c>
      <c r="C60" s="73" t="str">
        <f>'Приложение 3'!D65</f>
        <v>02</v>
      </c>
      <c r="D60" s="73">
        <f>'Приложение 3'!E65</f>
        <v>3</v>
      </c>
      <c r="E60" s="73" t="s">
        <v>172</v>
      </c>
      <c r="F60" s="58">
        <f>'Приложение 3'!G65</f>
        <v>0</v>
      </c>
      <c r="G60" s="58">
        <f>'Приложение 3'!H65</f>
        <v>0</v>
      </c>
      <c r="H60" s="58" t="e">
        <f t="shared" si="0"/>
        <v>#DIV/0!</v>
      </c>
    </row>
    <row r="61" spans="1:8" ht="40.5" customHeight="1" outlineLevel="2">
      <c r="A61" s="45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61" s="73" t="str">
        <f>'Приложение 3'!C66</f>
        <v>0113</v>
      </c>
      <c r="C61" s="73" t="str">
        <f>'Приложение 3'!D66</f>
        <v>02</v>
      </c>
      <c r="D61" s="73">
        <f>'Приложение 3'!E66</f>
        <v>4</v>
      </c>
      <c r="E61" s="73"/>
      <c r="F61" s="58">
        <f>'Приложение 3'!G66</f>
        <v>150</v>
      </c>
      <c r="G61" s="58">
        <f>'Приложение 3'!H66</f>
        <v>122.7558</v>
      </c>
      <c r="H61" s="58">
        <f t="shared" si="0"/>
        <v>81.8372</v>
      </c>
    </row>
    <row r="62" spans="1:8" ht="27" customHeight="1" outlineLevel="2">
      <c r="A62" s="45" t="str">
        <f>'Приложение 3'!A67</f>
        <v>Предоставление субсидий бюджетным, автономным учреждениям и иным некоммерческим организациям</v>
      </c>
      <c r="B62" s="73" t="str">
        <f>'Приложение 3'!C67</f>
        <v>0113</v>
      </c>
      <c r="C62" s="73" t="str">
        <f>'Приложение 3'!D67</f>
        <v>02</v>
      </c>
      <c r="D62" s="73">
        <f>'Приложение 3'!E67</f>
        <v>4</v>
      </c>
      <c r="E62" s="73">
        <f>'Приложение 3'!F67</f>
        <v>600</v>
      </c>
      <c r="F62" s="58">
        <f>'Приложение 3'!G67</f>
        <v>150</v>
      </c>
      <c r="G62" s="58">
        <f>'Приложение 3'!H67</f>
        <v>122.7558</v>
      </c>
      <c r="H62" s="58">
        <f t="shared" si="0"/>
        <v>81.8372</v>
      </c>
    </row>
    <row r="63" spans="1:8" ht="24" outlineLevel="2">
      <c r="A63" s="45" t="str">
        <f>'Приложение 3'!A68</f>
        <v>Муниципальная программа "Маршрут Победы на 2019-2023 годы"</v>
      </c>
      <c r="B63" s="73" t="str">
        <f>'Приложение 3'!C68</f>
        <v>0113</v>
      </c>
      <c r="C63" s="73" t="str">
        <f>'Приложение 3'!D68</f>
        <v>15</v>
      </c>
      <c r="D63" s="73">
        <f>'Приложение 3'!E68</f>
        <v>0</v>
      </c>
      <c r="E63" s="73"/>
      <c r="F63" s="58">
        <f>'Приложение 3'!G68</f>
        <v>188</v>
      </c>
      <c r="G63" s="58">
        <f>'Приложение 3'!H68</f>
        <v>168.293</v>
      </c>
      <c r="H63" s="58">
        <f t="shared" si="0"/>
        <v>89.51755319148937</v>
      </c>
    </row>
    <row r="64" spans="1:8" ht="24" outlineLevel="2">
      <c r="A64" s="45" t="str">
        <f>'Приложение 3'!A69</f>
        <v>Закупка товаров, работ и услуг для государственных (муниципальных) нужд</v>
      </c>
      <c r="B64" s="73" t="str">
        <f>'Приложение 3'!C69</f>
        <v>0113</v>
      </c>
      <c r="C64" s="73" t="str">
        <f>'Приложение 3'!D69</f>
        <v>15</v>
      </c>
      <c r="D64" s="73">
        <f>'Приложение 3'!E69</f>
        <v>0</v>
      </c>
      <c r="E64" s="73">
        <f>'Приложение 3'!F69</f>
        <v>200</v>
      </c>
      <c r="F64" s="58">
        <f>'Приложение 3'!G69</f>
        <v>170</v>
      </c>
      <c r="G64" s="58">
        <f>'Приложение 3'!H69</f>
        <v>150.293</v>
      </c>
      <c r="H64" s="58">
        <f t="shared" si="0"/>
        <v>88.40764705882353</v>
      </c>
    </row>
    <row r="65" spans="1:8" ht="17.25" customHeight="1" outlineLevel="2">
      <c r="A65" s="45" t="str">
        <f>'Приложение 3'!A70</f>
        <v>Социальное обеспечение и иные выплаты населению</v>
      </c>
      <c r="B65" s="73" t="str">
        <f>'Приложение 3'!C70</f>
        <v>0113</v>
      </c>
      <c r="C65" s="73" t="str">
        <f>'Приложение 3'!D70</f>
        <v>15</v>
      </c>
      <c r="D65" s="73">
        <f>'Приложение 3'!E70</f>
        <v>0</v>
      </c>
      <c r="E65" s="73">
        <f>'Приложение 3'!F70</f>
        <v>300</v>
      </c>
      <c r="F65" s="58">
        <f>'Приложение 3'!G70</f>
        <v>18</v>
      </c>
      <c r="G65" s="58">
        <f>'Приложение 3'!H70</f>
        <v>18</v>
      </c>
      <c r="H65" s="58">
        <f t="shared" si="0"/>
        <v>100</v>
      </c>
    </row>
    <row r="66" spans="1:8" ht="36" outlineLevel="2">
      <c r="A66" s="45" t="str">
        <f>'Приложение 3'!A71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6" s="73" t="str">
        <f>'Приложение 3'!C71</f>
        <v>0113</v>
      </c>
      <c r="C66" s="73" t="str">
        <f>'Приложение 3'!D71</f>
        <v>20</v>
      </c>
      <c r="D66" s="73">
        <f>'Приложение 3'!E71</f>
        <v>0</v>
      </c>
      <c r="E66" s="73"/>
      <c r="F66" s="58">
        <f>'Приложение 3'!G71</f>
        <v>20</v>
      </c>
      <c r="G66" s="58">
        <f>'Приложение 3'!H71</f>
        <v>0</v>
      </c>
      <c r="H66" s="58">
        <f t="shared" si="0"/>
        <v>0</v>
      </c>
    </row>
    <row r="67" spans="1:8" ht="15" customHeight="1" outlineLevel="2">
      <c r="A67" s="45" t="str">
        <f>'Приложение 3'!A72</f>
        <v>Подпрограмма "Профилактика правонарушений"</v>
      </c>
      <c r="B67" s="73" t="str">
        <f>'Приложение 3'!C72</f>
        <v>0113</v>
      </c>
      <c r="C67" s="73" t="str">
        <f>'Приложение 3'!D72</f>
        <v>20</v>
      </c>
      <c r="D67" s="73">
        <f>'Приложение 3'!E72</f>
        <v>1</v>
      </c>
      <c r="E67" s="73"/>
      <c r="F67" s="58">
        <f>'Приложение 3'!G72</f>
        <v>10</v>
      </c>
      <c r="G67" s="58">
        <f>'Приложение 3'!H72</f>
        <v>0</v>
      </c>
      <c r="H67" s="58">
        <f t="shared" si="0"/>
        <v>0</v>
      </c>
    </row>
    <row r="68" spans="1:8" ht="24" outlineLevel="2">
      <c r="A68" s="45" t="str">
        <f>'Приложение 3'!A73</f>
        <v>Закупка товаров, работ и услуг для государственных (муниципальных) нужд</v>
      </c>
      <c r="B68" s="73" t="str">
        <f>'Приложение 3'!C73</f>
        <v>0113</v>
      </c>
      <c r="C68" s="73" t="str">
        <f>'Приложение 3'!D73</f>
        <v>20</v>
      </c>
      <c r="D68" s="73">
        <f>'Приложение 3'!E73</f>
        <v>1</v>
      </c>
      <c r="E68" s="73">
        <f>'Приложение 3'!F73</f>
        <v>200</v>
      </c>
      <c r="F68" s="58">
        <f>'Приложение 3'!G73</f>
        <v>10</v>
      </c>
      <c r="G68" s="58">
        <f>'Приложение 3'!H73</f>
        <v>0</v>
      </c>
      <c r="H68" s="58">
        <f t="shared" si="0"/>
        <v>0</v>
      </c>
    </row>
    <row r="69" spans="1:8" ht="24" outlineLevel="2">
      <c r="A69" s="45" t="str">
        <f>'Приложение 3'!A74</f>
        <v>Подпрограмма "Формирование законопослушного поведения участников дорожного движения"</v>
      </c>
      <c r="B69" s="73" t="str">
        <f>'Приложение 3'!C74</f>
        <v>0113</v>
      </c>
      <c r="C69" s="73" t="str">
        <f>'Приложение 3'!D74</f>
        <v>20</v>
      </c>
      <c r="D69" s="73">
        <f>'Приложение 3'!E74</f>
        <v>2</v>
      </c>
      <c r="E69" s="73"/>
      <c r="F69" s="58">
        <f>'Приложение 3'!G74</f>
        <v>10</v>
      </c>
      <c r="G69" s="58">
        <f>'Приложение 3'!H74</f>
        <v>0</v>
      </c>
      <c r="H69" s="58">
        <f t="shared" si="0"/>
        <v>0</v>
      </c>
    </row>
    <row r="70" spans="1:8" ht="24" outlineLevel="2">
      <c r="A70" s="45" t="str">
        <f>'Приложение 3'!A75</f>
        <v>Закупка товаров, работ и услуг для государственных (муниципальных) нужд</v>
      </c>
      <c r="B70" s="73" t="str">
        <f>'Приложение 3'!C75</f>
        <v>0113</v>
      </c>
      <c r="C70" s="73" t="str">
        <f>'Приложение 3'!D75</f>
        <v>20</v>
      </c>
      <c r="D70" s="73">
        <f>'Приложение 3'!E75</f>
        <v>2</v>
      </c>
      <c r="E70" s="73">
        <f>'Приложение 3'!F75</f>
        <v>200</v>
      </c>
      <c r="F70" s="58">
        <f>'Приложение 3'!G75</f>
        <v>10</v>
      </c>
      <c r="G70" s="58">
        <f>'Приложение 3'!H75</f>
        <v>0</v>
      </c>
      <c r="H70" s="58">
        <f t="shared" si="0"/>
        <v>0</v>
      </c>
    </row>
    <row r="71" spans="1:8" ht="36" hidden="1" outlineLevel="2">
      <c r="A71" s="45" t="str">
        <f>'Приложение 3'!A76</f>
        <v>Муниципальная программа "Улучшение условий и охраны труда в Алексеевском муниципальном районе на 2017-2019 годы"</v>
      </c>
      <c r="B71" s="73" t="str">
        <f>'Приложение 3'!C76</f>
        <v>0113</v>
      </c>
      <c r="C71" s="73" t="str">
        <f>'Приложение 3'!D76</f>
        <v>21</v>
      </c>
      <c r="D71" s="73">
        <f>'Приложение 3'!E76</f>
        <v>0</v>
      </c>
      <c r="E71" s="73"/>
      <c r="F71" s="58">
        <f>'Приложение 3'!G76</f>
        <v>0</v>
      </c>
      <c r="G71" s="58">
        <f>'Приложение 3'!H76</f>
        <v>0</v>
      </c>
      <c r="H71" s="58" t="e">
        <f t="shared" si="0"/>
        <v>#DIV/0!</v>
      </c>
    </row>
    <row r="72" spans="1:8" ht="24" hidden="1" outlineLevel="2">
      <c r="A72" s="45" t="str">
        <f>'Приложение 3'!A77</f>
        <v>Закупка товаров, работ и услуг для государственных (муниципальных) нужд</v>
      </c>
      <c r="B72" s="73" t="str">
        <f>'Приложение 3'!C77</f>
        <v>0113</v>
      </c>
      <c r="C72" s="73" t="str">
        <f>'Приложение 3'!D77</f>
        <v>21</v>
      </c>
      <c r="D72" s="73">
        <f>'Приложение 3'!E77</f>
        <v>0</v>
      </c>
      <c r="E72" s="73">
        <f>'Приложение 3'!F77</f>
        <v>200</v>
      </c>
      <c r="F72" s="58">
        <f>'Приложение 3'!G77</f>
        <v>0</v>
      </c>
      <c r="G72" s="58">
        <f>'Приложение 3'!H77</f>
        <v>0</v>
      </c>
      <c r="H72" s="58" t="e">
        <f t="shared" si="0"/>
        <v>#DIV/0!</v>
      </c>
    </row>
    <row r="73" spans="1:8" ht="36" outlineLevel="2">
      <c r="A73" s="45" t="str">
        <f>'Приложение 3'!A78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3" s="73" t="str">
        <f>'Приложение 3'!C78</f>
        <v>0113</v>
      </c>
      <c r="C73" s="73" t="str">
        <f>'Приложение 3'!D78</f>
        <v>23</v>
      </c>
      <c r="D73" s="73">
        <f>'Приложение 3'!E78</f>
        <v>0</v>
      </c>
      <c r="E73" s="73"/>
      <c r="F73" s="58">
        <f>'Приложение 3'!G78</f>
        <v>10</v>
      </c>
      <c r="G73" s="58">
        <f>'Приложение 3'!H78</f>
        <v>0</v>
      </c>
      <c r="H73" s="58">
        <f t="shared" si="0"/>
        <v>0</v>
      </c>
    </row>
    <row r="74" spans="1:8" ht="24" outlineLevel="2">
      <c r="A74" s="45" t="str">
        <f>'Приложение 3'!A79</f>
        <v>Закупка товаров, работ и услуг для государственных (муниципальных) нужд</v>
      </c>
      <c r="B74" s="73" t="str">
        <f>'Приложение 3'!C79</f>
        <v>0113</v>
      </c>
      <c r="C74" s="73" t="str">
        <f>'Приложение 3'!D79</f>
        <v>23</v>
      </c>
      <c r="D74" s="73">
        <f>'Приложение 3'!E79</f>
        <v>0</v>
      </c>
      <c r="E74" s="73">
        <f>'Приложение 3'!F79</f>
        <v>200</v>
      </c>
      <c r="F74" s="58">
        <f>'Приложение 3'!G79</f>
        <v>10</v>
      </c>
      <c r="G74" s="58">
        <f>'Приложение 3'!H79</f>
        <v>0</v>
      </c>
      <c r="H74" s="58">
        <f aca="true" t="shared" si="1" ref="H74:H137">SUM(G74/F74)*100</f>
        <v>0</v>
      </c>
    </row>
    <row r="75" spans="1:8" ht="60" outlineLevel="2">
      <c r="A75" s="45" t="str">
        <f>'Приложение 3'!A80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75" s="73" t="str">
        <f>'Приложение 3'!C80</f>
        <v>0113</v>
      </c>
      <c r="C75" s="73" t="str">
        <f>'Приложение 3'!D80</f>
        <v>51</v>
      </c>
      <c r="D75" s="73">
        <f>'Приложение 3'!E80</f>
        <v>0</v>
      </c>
      <c r="E75" s="73"/>
      <c r="F75" s="58">
        <f>'Приложение 3'!G80</f>
        <v>39020</v>
      </c>
      <c r="G75" s="58">
        <f>'Приложение 3'!H80</f>
        <v>32996.32404</v>
      </c>
      <c r="H75" s="58">
        <f t="shared" si="1"/>
        <v>84.56259364428497</v>
      </c>
    </row>
    <row r="76" spans="1:8" ht="24" outlineLevel="2">
      <c r="A76" s="45" t="str">
        <f>'Приложение 3'!A81</f>
        <v>Предоставление субсидий бюджетным, автономным учреждениям и иным некоммерческим организациям</v>
      </c>
      <c r="B76" s="73" t="str">
        <f>'Приложение 3'!C81</f>
        <v>0113</v>
      </c>
      <c r="C76" s="73" t="str">
        <f>'Приложение 3'!D81</f>
        <v>51</v>
      </c>
      <c r="D76" s="73">
        <f>'Приложение 3'!E81</f>
        <v>0</v>
      </c>
      <c r="E76" s="73">
        <f>'Приложение 3'!F81</f>
        <v>600</v>
      </c>
      <c r="F76" s="58">
        <f>'Приложение 3'!G81</f>
        <v>38000</v>
      </c>
      <c r="G76" s="58">
        <f>'Приложение 3'!H81</f>
        <v>32527.56104</v>
      </c>
      <c r="H76" s="58">
        <f t="shared" si="1"/>
        <v>85.59884484210527</v>
      </c>
    </row>
    <row r="77" spans="1:8" ht="51.75" customHeight="1" outlineLevel="2">
      <c r="A77" s="45" t="str">
        <f>'Приложение 3'!A82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7" s="73" t="str">
        <f>'Приложение 3'!C82</f>
        <v>0113</v>
      </c>
      <c r="C77" s="73" t="str">
        <f>'Приложение 3'!D82</f>
        <v>51</v>
      </c>
      <c r="D77" s="73">
        <f>'Приложение 3'!E82</f>
        <v>0</v>
      </c>
      <c r="E77" s="73">
        <f>'Приложение 3'!F82</f>
        <v>600</v>
      </c>
      <c r="F77" s="58">
        <f>'Приложение 3'!G82</f>
        <v>1020</v>
      </c>
      <c r="G77" s="58">
        <f>'Приложение 3'!H82</f>
        <v>468.763</v>
      </c>
      <c r="H77" s="58">
        <f t="shared" si="1"/>
        <v>45.957156862745094</v>
      </c>
    </row>
    <row r="78" spans="1:8" ht="12.75" outlineLevel="2">
      <c r="A78" s="45" t="str">
        <f>'Приложение 3'!A83</f>
        <v>Государственная регистрация актов гражданского состояния</v>
      </c>
      <c r="B78" s="73" t="str">
        <f>'Приложение 3'!C83</f>
        <v>0113</v>
      </c>
      <c r="C78" s="73">
        <f>'Приложение 3'!D83</f>
        <v>0</v>
      </c>
      <c r="D78" s="73">
        <f>'Приложение 3'!E83</f>
        <v>0</v>
      </c>
      <c r="E78" s="73"/>
      <c r="F78" s="58">
        <f>'Приложение 3'!G83</f>
        <v>925.8</v>
      </c>
      <c r="G78" s="58">
        <f>'Приложение 3'!H83</f>
        <v>674.198</v>
      </c>
      <c r="H78" s="58">
        <f t="shared" si="1"/>
        <v>72.82328796716354</v>
      </c>
    </row>
    <row r="79" spans="1:8" ht="36" outlineLevel="2">
      <c r="A79" s="45" t="str">
        <f>'Приложение 3'!A84</f>
        <v>Непрограммные направления обеспечения деятельности органов местного самоуправления Алексеевского муниципального района</v>
      </c>
      <c r="B79" s="73" t="str">
        <f>'Приложение 3'!C84</f>
        <v>0113</v>
      </c>
      <c r="C79" s="73" t="str">
        <f>'Приложение 3'!D84</f>
        <v>90</v>
      </c>
      <c r="D79" s="73">
        <f>'Приложение 3'!E84</f>
        <v>0</v>
      </c>
      <c r="E79" s="73"/>
      <c r="F79" s="58">
        <f>'Приложение 3'!G84</f>
        <v>925.8</v>
      </c>
      <c r="G79" s="58">
        <f>'Приложение 3'!H84</f>
        <v>674.198</v>
      </c>
      <c r="H79" s="58">
        <f t="shared" si="1"/>
        <v>72.82328796716354</v>
      </c>
    </row>
    <row r="80" spans="1:8" ht="48" outlineLevel="2">
      <c r="A80" s="45" t="str">
        <f>'Приложение 3'!A85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0" s="73" t="str">
        <f>'Приложение 3'!C85</f>
        <v>0113</v>
      </c>
      <c r="C80" s="73" t="str">
        <f>'Приложение 3'!D85</f>
        <v>90</v>
      </c>
      <c r="D80" s="73" t="str">
        <f>'Приложение 3'!E85</f>
        <v>0</v>
      </c>
      <c r="E80" s="73">
        <f>'Приложение 3'!F85</f>
        <v>100</v>
      </c>
      <c r="F80" s="58">
        <f>'Приложение 3'!G85</f>
        <v>781.1</v>
      </c>
      <c r="G80" s="58">
        <f>'Приложение 3'!H85</f>
        <v>600.8613</v>
      </c>
      <c r="H80" s="58">
        <f t="shared" si="1"/>
        <v>76.92501600307259</v>
      </c>
    </row>
    <row r="81" spans="1:8" ht="24" outlineLevel="2">
      <c r="A81" s="45" t="str">
        <f>'Приложение 3'!A86</f>
        <v>Закупка товаров, работ и услуг для государственных (муниципальных) нужд</v>
      </c>
      <c r="B81" s="73" t="str">
        <f>'Приложение 3'!C86</f>
        <v>0113</v>
      </c>
      <c r="C81" s="73" t="str">
        <f>'Приложение 3'!D86</f>
        <v>90</v>
      </c>
      <c r="D81" s="73" t="str">
        <f>'Приложение 3'!E86</f>
        <v>0</v>
      </c>
      <c r="E81" s="73">
        <f>'Приложение 3'!F86</f>
        <v>200</v>
      </c>
      <c r="F81" s="58">
        <f>'Приложение 3'!G86</f>
        <v>144.7</v>
      </c>
      <c r="G81" s="58">
        <f>'Приложение 3'!H86</f>
        <v>73.3367</v>
      </c>
      <c r="H81" s="58">
        <f t="shared" si="1"/>
        <v>50.681893572909466</v>
      </c>
    </row>
    <row r="82" spans="1:8" ht="26.25" customHeight="1" outlineLevel="2">
      <c r="A82" s="45" t="str">
        <f>'Приложение 3'!A87</f>
        <v>Оценка недвижимости, признание прав и регулирование отношений по муниципальной собственности</v>
      </c>
      <c r="B82" s="73" t="str">
        <f>'Приложение 3'!C87</f>
        <v>0113</v>
      </c>
      <c r="C82" s="73" t="str">
        <f>'Приложение 3'!D87</f>
        <v>99</v>
      </c>
      <c r="D82" s="73">
        <f>'Приложение 3'!E87</f>
        <v>0</v>
      </c>
      <c r="E82" s="73"/>
      <c r="F82" s="58">
        <f>'Приложение 3'!G87</f>
        <v>100</v>
      </c>
      <c r="G82" s="58">
        <f>'Приложение 3'!H87</f>
        <v>9.6</v>
      </c>
      <c r="H82" s="58">
        <f t="shared" si="1"/>
        <v>9.6</v>
      </c>
    </row>
    <row r="83" spans="1:8" ht="24.75" customHeight="1" outlineLevel="2">
      <c r="A83" s="45" t="str">
        <f>'Приложение 3'!A88</f>
        <v>Непрограммные расходы органов местного самоуправления Алексеевского муниципального района</v>
      </c>
      <c r="B83" s="73" t="str">
        <f>'Приложение 3'!C88</f>
        <v>0113</v>
      </c>
      <c r="C83" s="73" t="str">
        <f>'Приложение 3'!D88</f>
        <v>99</v>
      </c>
      <c r="D83" s="73" t="str">
        <f>'Приложение 3'!E88</f>
        <v>0</v>
      </c>
      <c r="E83" s="73"/>
      <c r="F83" s="58">
        <f>'Приложение 3'!G88</f>
        <v>100</v>
      </c>
      <c r="G83" s="58">
        <f>'Приложение 3'!H88</f>
        <v>9.6</v>
      </c>
      <c r="H83" s="58">
        <f t="shared" si="1"/>
        <v>9.6</v>
      </c>
    </row>
    <row r="84" spans="1:8" ht="24.75" customHeight="1" outlineLevel="2">
      <c r="A84" s="45" t="str">
        <f>'Приложение 3'!A89</f>
        <v>Закупка товаров, работ и услуг для государственных (муниципальных) нужд</v>
      </c>
      <c r="B84" s="73" t="str">
        <f>'Приложение 3'!C89</f>
        <v>0113</v>
      </c>
      <c r="C84" s="73" t="str">
        <f>'Приложение 3'!D89</f>
        <v>99</v>
      </c>
      <c r="D84" s="73" t="str">
        <f>'Приложение 3'!E89</f>
        <v>0</v>
      </c>
      <c r="E84" s="73">
        <f>'Приложение 3'!F89</f>
        <v>200</v>
      </c>
      <c r="F84" s="58">
        <f>'Приложение 3'!G89</f>
        <v>100</v>
      </c>
      <c r="G84" s="58">
        <f>'Приложение 3'!H89</f>
        <v>9.6</v>
      </c>
      <c r="H84" s="58">
        <f t="shared" si="1"/>
        <v>9.6</v>
      </c>
    </row>
    <row r="85" spans="1:8" ht="24" outlineLevel="5">
      <c r="A85" s="45" t="str">
        <f>'Приложение 3'!A90</f>
        <v>Реализация государственных функций, связанных с общегосударственным управлением</v>
      </c>
      <c r="B85" s="73" t="str">
        <f>'Приложение 3'!C90</f>
        <v>0113</v>
      </c>
      <c r="C85" s="73" t="str">
        <f>'Приложение 3'!D90</f>
        <v>99</v>
      </c>
      <c r="D85" s="73">
        <f>'Приложение 3'!E90</f>
        <v>0</v>
      </c>
      <c r="E85" s="73"/>
      <c r="F85" s="58">
        <f>'Приложение 3'!G90</f>
        <v>2455.8248999999987</v>
      </c>
      <c r="G85" s="58">
        <f>'Приложение 3'!H90</f>
        <v>754.58362</v>
      </c>
      <c r="H85" s="58">
        <f t="shared" si="1"/>
        <v>30.726279385798243</v>
      </c>
    </row>
    <row r="86" spans="1:8" ht="25.5" customHeight="1" outlineLevel="5">
      <c r="A86" s="45" t="str">
        <f>'Приложение 3'!A91</f>
        <v>Непрограммные расходы органов местного самоуправления Алексеевского муниципального района</v>
      </c>
      <c r="B86" s="73" t="str">
        <f>'Приложение 3'!C91</f>
        <v>0113</v>
      </c>
      <c r="C86" s="73" t="str">
        <f>'Приложение 3'!D91</f>
        <v>99</v>
      </c>
      <c r="D86" s="73" t="str">
        <f>'Приложение 3'!E91</f>
        <v>0</v>
      </c>
      <c r="E86" s="73"/>
      <c r="F86" s="58">
        <f>'Приложение 3'!G91</f>
        <v>2455.8248999999987</v>
      </c>
      <c r="G86" s="58">
        <f>'Приложение 3'!H91</f>
        <v>754.58362</v>
      </c>
      <c r="H86" s="58">
        <f t="shared" si="1"/>
        <v>30.726279385798243</v>
      </c>
    </row>
    <row r="87" spans="1:8" ht="25.5" customHeight="1" outlineLevel="5">
      <c r="A87" s="45" t="str">
        <f>'Приложение 3'!A92</f>
        <v>Закупка товаров, работ и услуг для государственных (муниципальных) нужд</v>
      </c>
      <c r="B87" s="73" t="str">
        <f>'Приложение 3'!C92</f>
        <v>0113</v>
      </c>
      <c r="C87" s="73" t="str">
        <f>'Приложение 3'!D92</f>
        <v>99</v>
      </c>
      <c r="D87" s="73">
        <f>'Приложение 3'!E92</f>
        <v>0</v>
      </c>
      <c r="E87" s="73"/>
      <c r="F87" s="58">
        <f>'Приложение 3'!G92</f>
        <v>1015.8248999999987</v>
      </c>
      <c r="G87" s="58">
        <f>'Приложение 3'!H92</f>
        <v>254.55539</v>
      </c>
      <c r="H87" s="58">
        <f t="shared" si="1"/>
        <v>25.05898309836669</v>
      </c>
    </row>
    <row r="88" spans="1:8" ht="12.75" outlineLevel="5">
      <c r="A88" s="45" t="str">
        <f>'Приложение 3'!A93</f>
        <v>Иные бюджетные ассигнования</v>
      </c>
      <c r="B88" s="73" t="str">
        <f>'Приложение 3'!C93</f>
        <v>0113</v>
      </c>
      <c r="C88" s="73" t="str">
        <f>'Приложение 3'!D93</f>
        <v>99</v>
      </c>
      <c r="D88" s="73">
        <f>'Приложение 3'!E93</f>
        <v>0</v>
      </c>
      <c r="E88" s="73">
        <f>'Приложение 3'!F93</f>
        <v>800</v>
      </c>
      <c r="F88" s="58">
        <f>'Приложение 3'!G93</f>
        <v>1440</v>
      </c>
      <c r="G88" s="58">
        <f>'Приложение 3'!H93</f>
        <v>500.02823</v>
      </c>
      <c r="H88" s="58">
        <f t="shared" si="1"/>
        <v>34.72418263888889</v>
      </c>
    </row>
    <row r="89" spans="1:8" ht="24" hidden="1" outlineLevel="5">
      <c r="A89" s="45" t="str">
        <f>'Приложение 3'!A94</f>
        <v>Осуществление полномочий по подготовке и проведению Всероссийской переписи населения 2020 года на 2021 год</v>
      </c>
      <c r="B89" s="73" t="str">
        <f>'Приложение 3'!C94</f>
        <v>0113</v>
      </c>
      <c r="C89" s="73" t="str">
        <f>'Приложение 3'!D94</f>
        <v>99</v>
      </c>
      <c r="D89" s="73">
        <f>'Приложение 3'!E94</f>
        <v>0</v>
      </c>
      <c r="E89" s="73"/>
      <c r="F89" s="58">
        <f>'Приложение 3'!G94</f>
        <v>0</v>
      </c>
      <c r="G89" s="58">
        <f>'Приложение 3'!H94</f>
        <v>0</v>
      </c>
      <c r="H89" s="58" t="e">
        <f t="shared" si="1"/>
        <v>#DIV/0!</v>
      </c>
    </row>
    <row r="90" spans="1:8" ht="24" hidden="1" outlineLevel="5">
      <c r="A90" s="45" t="str">
        <f>'Приложение 3'!A95</f>
        <v>Непрограммные расходы органов местного самоуправления Алексеевского муниципального района</v>
      </c>
      <c r="B90" s="73" t="str">
        <f>'Приложение 3'!C95</f>
        <v>0113</v>
      </c>
      <c r="C90" s="73" t="str">
        <f>'Приложение 3'!D95</f>
        <v>99</v>
      </c>
      <c r="D90" s="73" t="str">
        <f>'Приложение 3'!E95</f>
        <v>0</v>
      </c>
      <c r="E90" s="73"/>
      <c r="F90" s="58">
        <f>'Приложение 3'!G95</f>
        <v>0</v>
      </c>
      <c r="G90" s="58">
        <f>'Приложение 3'!H95</f>
        <v>0</v>
      </c>
      <c r="H90" s="58" t="e">
        <f t="shared" si="1"/>
        <v>#DIV/0!</v>
      </c>
    </row>
    <row r="91" spans="1:8" ht="24" hidden="1" outlineLevel="5">
      <c r="A91" s="45" t="str">
        <f>'Приложение 3'!A96</f>
        <v>Закупка товаров, работ и услуг для государственных (муниципальных) нужд</v>
      </c>
      <c r="B91" s="73" t="str">
        <f>'Приложение 3'!C96</f>
        <v>0113</v>
      </c>
      <c r="C91" s="73" t="str">
        <f>'Приложение 3'!D96</f>
        <v>99</v>
      </c>
      <c r="D91" s="73">
        <f>'Приложение 3'!E96</f>
        <v>0</v>
      </c>
      <c r="E91" s="73">
        <f>'Приложение 3'!F96</f>
        <v>200</v>
      </c>
      <c r="F91" s="58">
        <f>'Приложение 3'!G96</f>
        <v>0</v>
      </c>
      <c r="G91" s="58">
        <f>'Приложение 3'!H96</f>
        <v>0</v>
      </c>
      <c r="H91" s="58" t="e">
        <f t="shared" si="1"/>
        <v>#DIV/0!</v>
      </c>
    </row>
    <row r="92" spans="1:8" ht="12.75" outlineLevel="5">
      <c r="A92" s="45" t="str">
        <f>'Приложение 3'!A97</f>
        <v>Условно утвержденные расходы</v>
      </c>
      <c r="B92" s="73" t="str">
        <f>'Приложение 3'!C97</f>
        <v>0113</v>
      </c>
      <c r="C92" s="73" t="str">
        <f>'Приложение 3'!D97</f>
        <v>99</v>
      </c>
      <c r="D92" s="73">
        <f>'Приложение 3'!E97</f>
        <v>0</v>
      </c>
      <c r="E92" s="73" t="s">
        <v>145</v>
      </c>
      <c r="F92" s="58">
        <f>'Приложение 3'!G97</f>
        <v>0</v>
      </c>
      <c r="G92" s="58">
        <f>'Приложение 3'!H97</f>
        <v>0</v>
      </c>
      <c r="H92" s="58" t="e">
        <f t="shared" si="1"/>
        <v>#DIV/0!</v>
      </c>
    </row>
    <row r="93" spans="1:8" ht="12.75" outlineLevel="5">
      <c r="A93" s="45" t="str">
        <f>'Приложение 3'!A98</f>
        <v>Национальная оборона </v>
      </c>
      <c r="B93" s="73" t="str">
        <f>'Приложение 3'!C98</f>
        <v>0200</v>
      </c>
      <c r="C93" s="73"/>
      <c r="D93" s="73"/>
      <c r="E93" s="73"/>
      <c r="F93" s="58">
        <f>'Приложение 3'!G98</f>
        <v>20</v>
      </c>
      <c r="G93" s="58">
        <f>'Приложение 3'!H98</f>
        <v>0</v>
      </c>
      <c r="H93" s="58">
        <f t="shared" si="1"/>
        <v>0</v>
      </c>
    </row>
    <row r="94" spans="1:8" ht="12.75" outlineLevel="5">
      <c r="A94" s="45" t="str">
        <f>'Приложение 3'!A99</f>
        <v>Мобилизационная подготовка экономики</v>
      </c>
      <c r="B94" s="73" t="str">
        <f>'Приложение 3'!C99</f>
        <v>0204</v>
      </c>
      <c r="C94" s="73"/>
      <c r="D94" s="73"/>
      <c r="E94" s="73"/>
      <c r="F94" s="58">
        <f>'Приложение 3'!G99</f>
        <v>20</v>
      </c>
      <c r="G94" s="58">
        <f>'Приложение 3'!H99</f>
        <v>0</v>
      </c>
      <c r="H94" s="58">
        <f t="shared" si="1"/>
        <v>0</v>
      </c>
    </row>
    <row r="95" spans="1:8" ht="24" outlineLevel="2">
      <c r="A95" s="45" t="str">
        <f>'Приложение 3'!A100</f>
        <v>Мероприятия по обеспечению мобилизационной готовности экономики</v>
      </c>
      <c r="B95" s="73" t="str">
        <f>'Приложение 3'!C100</f>
        <v>0204</v>
      </c>
      <c r="C95" s="73"/>
      <c r="D95" s="73"/>
      <c r="E95" s="73"/>
      <c r="F95" s="58">
        <f>'Приложение 3'!G100</f>
        <v>20</v>
      </c>
      <c r="G95" s="58">
        <f>'Приложение 3'!H100</f>
        <v>0</v>
      </c>
      <c r="H95" s="58">
        <f t="shared" si="1"/>
        <v>0</v>
      </c>
    </row>
    <row r="96" spans="1:8" ht="24.75" customHeight="1" outlineLevel="5">
      <c r="A96" s="45" t="str">
        <f>'Приложение 3'!A101</f>
        <v>Непрограммные расходы органов местного самоуправления Алексеевского муниципального района</v>
      </c>
      <c r="B96" s="73" t="str">
        <f>'Приложение 3'!C101</f>
        <v>0204</v>
      </c>
      <c r="C96" s="73" t="str">
        <f>'Приложение 3'!D101</f>
        <v>99</v>
      </c>
      <c r="D96" s="73">
        <f>'Приложение 3'!E101</f>
        <v>0</v>
      </c>
      <c r="E96" s="73"/>
      <c r="F96" s="58">
        <f>'Приложение 3'!G101</f>
        <v>20</v>
      </c>
      <c r="G96" s="58">
        <f>'Приложение 3'!H101</f>
        <v>0</v>
      </c>
      <c r="H96" s="58">
        <f t="shared" si="1"/>
        <v>0</v>
      </c>
    </row>
    <row r="97" spans="1:8" ht="24.75" customHeight="1" outlineLevel="5">
      <c r="A97" s="45" t="str">
        <f>'Приложение 3'!A102</f>
        <v>Закупка товаров, работ и услуг для государственных (муниципальных) нужд</v>
      </c>
      <c r="B97" s="73" t="str">
        <f>'Приложение 3'!C102</f>
        <v>0204</v>
      </c>
      <c r="C97" s="73" t="str">
        <f>'Приложение 3'!D102</f>
        <v>99</v>
      </c>
      <c r="D97" s="73">
        <f>'Приложение 3'!E102</f>
        <v>0</v>
      </c>
      <c r="E97" s="73">
        <f>'Приложение 3'!F102</f>
        <v>200</v>
      </c>
      <c r="F97" s="58">
        <f>'Приложение 3'!G102</f>
        <v>20</v>
      </c>
      <c r="G97" s="58">
        <f>'Приложение 3'!H102</f>
        <v>0</v>
      </c>
      <c r="H97" s="58">
        <f t="shared" si="1"/>
        <v>0</v>
      </c>
    </row>
    <row r="98" spans="1:8" ht="24" outlineLevel="5">
      <c r="A98" s="45" t="str">
        <f>'Приложение 3'!A103</f>
        <v>Национальная безопасность и правоохранительная деятельность</v>
      </c>
      <c r="B98" s="73" t="str">
        <f>'Приложение 3'!C103</f>
        <v>0300</v>
      </c>
      <c r="C98" s="73"/>
      <c r="D98" s="73"/>
      <c r="E98" s="73"/>
      <c r="F98" s="58">
        <f>'Приложение 3'!G103</f>
        <v>70</v>
      </c>
      <c r="G98" s="58">
        <f>'Приложение 3'!H103</f>
        <v>50</v>
      </c>
      <c r="H98" s="58">
        <f t="shared" si="1"/>
        <v>71.42857142857143</v>
      </c>
    </row>
    <row r="99" spans="1:8" ht="12.75" outlineLevel="5">
      <c r="A99" s="45" t="str">
        <f>'Приложение 3'!A104</f>
        <v>Гражданская оборона</v>
      </c>
      <c r="B99" s="73" t="str">
        <f>'Приложение 3'!C104</f>
        <v>0309</v>
      </c>
      <c r="C99" s="73"/>
      <c r="D99" s="73"/>
      <c r="E99" s="73"/>
      <c r="F99" s="58">
        <f>'Приложение 3'!G104</f>
        <v>20</v>
      </c>
      <c r="G99" s="58">
        <f>'Приложение 3'!H104</f>
        <v>0</v>
      </c>
      <c r="H99" s="58">
        <f t="shared" si="1"/>
        <v>0</v>
      </c>
    </row>
    <row r="100" spans="1:8" ht="24" outlineLevel="5">
      <c r="A100" s="45" t="str">
        <f>'Приложение 3'!A105</f>
        <v>Непрограммные расходы органов местного самоуправления Алексеевского муниципального района</v>
      </c>
      <c r="B100" s="73" t="str">
        <f>'Приложение 3'!C105</f>
        <v>0309</v>
      </c>
      <c r="C100" s="73" t="str">
        <f>'Приложение 3'!D105</f>
        <v>99</v>
      </c>
      <c r="D100" s="73">
        <f>'Приложение 3'!E105</f>
        <v>0</v>
      </c>
      <c r="E100" s="73"/>
      <c r="F100" s="58">
        <f>'Приложение 3'!G105</f>
        <v>20</v>
      </c>
      <c r="G100" s="58">
        <f>'Приложение 3'!H105</f>
        <v>0</v>
      </c>
      <c r="H100" s="58">
        <f t="shared" si="1"/>
        <v>0</v>
      </c>
    </row>
    <row r="101" spans="1:8" ht="24" outlineLevel="5">
      <c r="A101" s="45" t="str">
        <f>'Приложение 3'!A106</f>
        <v>Закупка товаров, работ и услуг для государственных (муниципальных) нужд</v>
      </c>
      <c r="B101" s="73" t="str">
        <f>'Приложение 3'!C106</f>
        <v>0309</v>
      </c>
      <c r="C101" s="73" t="str">
        <f>'Приложение 3'!D106</f>
        <v>99</v>
      </c>
      <c r="D101" s="73">
        <f>'Приложение 3'!E106</f>
        <v>0</v>
      </c>
      <c r="E101" s="73">
        <f>'Приложение 3'!F106</f>
        <v>200</v>
      </c>
      <c r="F101" s="58">
        <f>'Приложение 3'!G106</f>
        <v>20</v>
      </c>
      <c r="G101" s="58">
        <f>'Приложение 3'!H106</f>
        <v>0</v>
      </c>
      <c r="H101" s="58">
        <f t="shared" si="1"/>
        <v>0</v>
      </c>
    </row>
    <row r="102" spans="1:8" ht="31.5" customHeight="1" outlineLevel="2">
      <c r="A102" s="45" t="str">
        <f>'Приложение 3'!A107</f>
        <v>Защита населения и территории от чрезвычайных ситуаций природного и техногенного характера, пожарная безопасность</v>
      </c>
      <c r="B102" s="73" t="str">
        <f>'Приложение 3'!C107</f>
        <v>0310</v>
      </c>
      <c r="C102" s="73"/>
      <c r="D102" s="73"/>
      <c r="E102" s="73"/>
      <c r="F102" s="58">
        <f>'Приложение 3'!G107</f>
        <v>50</v>
      </c>
      <c r="G102" s="58">
        <f>'Приложение 3'!H107</f>
        <v>50</v>
      </c>
      <c r="H102" s="58">
        <f t="shared" si="1"/>
        <v>100</v>
      </c>
    </row>
    <row r="103" spans="1:8" ht="28.5" customHeight="1" outlineLevel="5">
      <c r="A103" s="45" t="str">
        <f>'Приложение 3'!A108</f>
        <v>Непрограммные расходы органов местного самоуправления Алексеевского муниципального района</v>
      </c>
      <c r="B103" s="73" t="str">
        <f>'Приложение 3'!C108</f>
        <v>0310</v>
      </c>
      <c r="C103" s="73" t="str">
        <f>'Приложение 3'!D108</f>
        <v>99</v>
      </c>
      <c r="D103" s="73">
        <f>'Приложение 3'!E108</f>
        <v>0</v>
      </c>
      <c r="E103" s="73"/>
      <c r="F103" s="58">
        <f>'Приложение 3'!G108</f>
        <v>50</v>
      </c>
      <c r="G103" s="58">
        <f>'Приложение 3'!H108</f>
        <v>50</v>
      </c>
      <c r="H103" s="58">
        <f t="shared" si="1"/>
        <v>100</v>
      </c>
    </row>
    <row r="104" spans="1:8" ht="27" customHeight="1" outlineLevel="5">
      <c r="A104" s="45" t="str">
        <f>'Приложение 3'!A109</f>
        <v>Закупка товаров, работ и услуг для государственных (муниципальных) нужд</v>
      </c>
      <c r="B104" s="73" t="str">
        <f>'Приложение 3'!C109</f>
        <v>0310</v>
      </c>
      <c r="C104" s="73" t="str">
        <f>'Приложение 3'!D109</f>
        <v>99</v>
      </c>
      <c r="D104" s="73">
        <f>'Приложение 3'!E109</f>
        <v>0</v>
      </c>
      <c r="E104" s="73">
        <f>'Приложение 3'!F109</f>
        <v>200</v>
      </c>
      <c r="F104" s="58">
        <f>'Приложение 3'!G109</f>
        <v>50</v>
      </c>
      <c r="G104" s="58">
        <f>'Приложение 3'!H109</f>
        <v>50</v>
      </c>
      <c r="H104" s="58">
        <f t="shared" si="1"/>
        <v>100</v>
      </c>
    </row>
    <row r="105" spans="1:8" ht="18" customHeight="1" hidden="1" outlineLevel="3">
      <c r="A105" s="45" t="e">
        <f>'Приложение 3'!#REF!</f>
        <v>#REF!</v>
      </c>
      <c r="B105" s="73" t="e">
        <f>'Приложение 3'!#REF!</f>
        <v>#REF!</v>
      </c>
      <c r="C105" s="73"/>
      <c r="D105" s="73"/>
      <c r="E105" s="73"/>
      <c r="F105" s="58" t="e">
        <f>'Приложение 3'!#REF!</f>
        <v>#REF!</v>
      </c>
      <c r="G105" s="58" t="e">
        <f>'Приложение 3'!#REF!</f>
        <v>#REF!</v>
      </c>
      <c r="H105" s="58" t="e">
        <f t="shared" si="1"/>
        <v>#REF!</v>
      </c>
    </row>
    <row r="106" spans="1:8" ht="27" customHeight="1" hidden="1" outlineLevel="3">
      <c r="A106" s="45" t="e">
        <f>'Приложение 3'!#REF!</f>
        <v>#REF!</v>
      </c>
      <c r="B106" s="73" t="e">
        <f>'Приложение 3'!#REF!</f>
        <v>#REF!</v>
      </c>
      <c r="C106" s="73" t="e">
        <f>'Приложение 3'!#REF!</f>
        <v>#REF!</v>
      </c>
      <c r="D106" s="73" t="e">
        <f>'Приложение 3'!#REF!</f>
        <v>#REF!</v>
      </c>
      <c r="E106" s="73"/>
      <c r="F106" s="58" t="e">
        <f>'Приложение 3'!#REF!</f>
        <v>#REF!</v>
      </c>
      <c r="G106" s="58" t="e">
        <f>'Приложение 3'!#REF!</f>
        <v>#REF!</v>
      </c>
      <c r="H106" s="58" t="e">
        <f t="shared" si="1"/>
        <v>#REF!</v>
      </c>
    </row>
    <row r="107" spans="1:8" ht="27" customHeight="1" hidden="1" outlineLevel="3">
      <c r="A107" s="45" t="e">
        <f>'Приложение 3'!#REF!</f>
        <v>#REF!</v>
      </c>
      <c r="B107" s="73" t="e">
        <f>'Приложение 3'!#REF!</f>
        <v>#REF!</v>
      </c>
      <c r="C107" s="73" t="e">
        <f>'Приложение 3'!#REF!</f>
        <v>#REF!</v>
      </c>
      <c r="D107" s="73" t="e">
        <f>'Приложение 3'!#REF!</f>
        <v>#REF!</v>
      </c>
      <c r="E107" s="73" t="e">
        <f>'Приложение 3'!#REF!</f>
        <v>#REF!</v>
      </c>
      <c r="F107" s="58" t="e">
        <f>'Приложение 3'!#REF!</f>
        <v>#REF!</v>
      </c>
      <c r="G107" s="58" t="e">
        <f>'Приложение 3'!#REF!</f>
        <v>#REF!</v>
      </c>
      <c r="H107" s="58" t="e">
        <f t="shared" si="1"/>
        <v>#REF!</v>
      </c>
    </row>
    <row r="108" spans="1:8" ht="11.25" customHeight="1" outlineLevel="3">
      <c r="A108" s="45" t="str">
        <f>'Приложение 3'!A110</f>
        <v>Национальная экономика</v>
      </c>
      <c r="B108" s="73" t="str">
        <f>'Приложение 3'!C110</f>
        <v>0400</v>
      </c>
      <c r="C108" s="73"/>
      <c r="D108" s="73"/>
      <c r="E108" s="73"/>
      <c r="F108" s="58">
        <f>'Приложение 3'!G110</f>
        <v>40549.2632</v>
      </c>
      <c r="G108" s="58">
        <f>'Приложение 3'!H110</f>
        <v>7935.1457</v>
      </c>
      <c r="H108" s="58">
        <f t="shared" si="1"/>
        <v>19.5691489161263</v>
      </c>
    </row>
    <row r="109" spans="1:8" ht="12.75" outlineLevel="3">
      <c r="A109" s="45" t="str">
        <f>'Приложение 3'!A111</f>
        <v>Сельское хозяйство и рыболовство</v>
      </c>
      <c r="B109" s="73" t="str">
        <f>'Приложение 3'!C111</f>
        <v>0405</v>
      </c>
      <c r="C109" s="73"/>
      <c r="D109" s="73"/>
      <c r="E109" s="73"/>
      <c r="F109" s="58">
        <f>'Приложение 3'!G111</f>
        <v>143.5</v>
      </c>
      <c r="G109" s="58">
        <f>'Приложение 3'!H111</f>
        <v>143.5</v>
      </c>
      <c r="H109" s="58">
        <f t="shared" si="1"/>
        <v>100</v>
      </c>
    </row>
    <row r="110" spans="1:8" ht="48" outlineLevel="3">
      <c r="A110" s="45" t="str">
        <f>'Приложение 3'!A112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0" s="73" t="str">
        <f>'Приложение 3'!C112</f>
        <v>0405</v>
      </c>
      <c r="C110" s="73" t="str">
        <f>'Приложение 3'!D112</f>
        <v>99</v>
      </c>
      <c r="D110" s="73">
        <f>'Приложение 3'!E112</f>
        <v>0</v>
      </c>
      <c r="E110" s="73"/>
      <c r="F110" s="58">
        <f>'Приложение 3'!G112</f>
        <v>143.5</v>
      </c>
      <c r="G110" s="58">
        <f>'Приложение 3'!H112</f>
        <v>143.5</v>
      </c>
      <c r="H110" s="58">
        <f t="shared" si="1"/>
        <v>100</v>
      </c>
    </row>
    <row r="111" spans="1:8" ht="24" outlineLevel="3">
      <c r="A111" s="45" t="str">
        <f>'Приложение 3'!A113</f>
        <v>Непрограммные расходы органов местного самоуправления Алексеевского муниципального района</v>
      </c>
      <c r="B111" s="73" t="str">
        <f>'Приложение 3'!C113</f>
        <v>0405</v>
      </c>
      <c r="C111" s="73" t="str">
        <f>'Приложение 3'!D113</f>
        <v>99</v>
      </c>
      <c r="D111" s="73">
        <f>'Приложение 3'!E113</f>
        <v>0</v>
      </c>
      <c r="E111" s="73"/>
      <c r="F111" s="58">
        <f>'Приложение 3'!G113</f>
        <v>143.5</v>
      </c>
      <c r="G111" s="58">
        <f>'Приложение 3'!H113</f>
        <v>143.5</v>
      </c>
      <c r="H111" s="58">
        <f t="shared" si="1"/>
        <v>100</v>
      </c>
    </row>
    <row r="112" spans="1:8" ht="24" outlineLevel="3">
      <c r="A112" s="45" t="str">
        <f>'Приложение 3'!A114</f>
        <v>Закупка товаров, работ и услуг для государственных (муниципальных) нужд</v>
      </c>
      <c r="B112" s="73" t="str">
        <f>'Приложение 3'!C114</f>
        <v>0405</v>
      </c>
      <c r="C112" s="73" t="str">
        <f>'Приложение 3'!D114</f>
        <v>99</v>
      </c>
      <c r="D112" s="73">
        <f>'Приложение 3'!E114</f>
        <v>0</v>
      </c>
      <c r="E112" s="73">
        <f>'Приложение 3'!F114</f>
        <v>200</v>
      </c>
      <c r="F112" s="58">
        <f>'Приложение 3'!G114</f>
        <v>143.5</v>
      </c>
      <c r="G112" s="58">
        <f>'Приложение 3'!H114</f>
        <v>143.5</v>
      </c>
      <c r="H112" s="58">
        <f t="shared" si="1"/>
        <v>100</v>
      </c>
    </row>
    <row r="113" spans="1:8" ht="12.75" outlineLevel="3">
      <c r="A113" s="45" t="str">
        <f>'Приложение 3'!A115</f>
        <v>Дорожное хозяйство (дорожные фонды)</v>
      </c>
      <c r="B113" s="73" t="str">
        <f>'Приложение 3'!C115</f>
        <v>0409</v>
      </c>
      <c r="C113" s="73"/>
      <c r="D113" s="73"/>
      <c r="E113" s="73"/>
      <c r="F113" s="58">
        <f>'Приложение 3'!G115</f>
        <v>31338.108079999998</v>
      </c>
      <c r="G113" s="58">
        <f>'Приложение 3'!H115</f>
        <v>7379.2577</v>
      </c>
      <c r="H113" s="58">
        <f t="shared" si="1"/>
        <v>23.547234189001497</v>
      </c>
    </row>
    <row r="114" spans="1:8" ht="48" outlineLevel="3">
      <c r="A114" s="45" t="str">
        <f>'Приложение 3'!A116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4" s="73" t="str">
        <f>'Приложение 3'!C116</f>
        <v>0409</v>
      </c>
      <c r="C114" s="73" t="str">
        <f>'Приложение 3'!D116</f>
        <v>18</v>
      </c>
      <c r="D114" s="73">
        <f>'Приложение 3'!E116</f>
        <v>0</v>
      </c>
      <c r="E114" s="73"/>
      <c r="F114" s="58">
        <f>'Приложение 3'!G116</f>
        <v>31338.108079999998</v>
      </c>
      <c r="G114" s="58">
        <f>'Приложение 3'!H116</f>
        <v>7379.2577</v>
      </c>
      <c r="H114" s="58">
        <f t="shared" si="1"/>
        <v>23.547234189001497</v>
      </c>
    </row>
    <row r="115" spans="1:8" ht="27" customHeight="1" outlineLevel="1">
      <c r="A115" s="45" t="str">
        <f>'Приложение 3'!A117</f>
        <v>Закупка товаров, работ и услуг для государственных (муниципальных) нужд</v>
      </c>
      <c r="B115" s="73" t="str">
        <f>'Приложение 3'!C117</f>
        <v>0409</v>
      </c>
      <c r="C115" s="73" t="str">
        <f>'Приложение 3'!D117</f>
        <v>18</v>
      </c>
      <c r="D115" s="73">
        <f>'Приложение 3'!E117</f>
        <v>0</v>
      </c>
      <c r="E115" s="73">
        <f>'Приложение 3'!F117</f>
        <v>200</v>
      </c>
      <c r="F115" s="58">
        <f>'Приложение 3'!G117</f>
        <v>4179.673739999998</v>
      </c>
      <c r="G115" s="58">
        <f>'Приложение 3'!H117</f>
        <v>0</v>
      </c>
      <c r="H115" s="58">
        <f t="shared" si="1"/>
        <v>0</v>
      </c>
    </row>
    <row r="116" spans="1:8" ht="23.25" customHeight="1" outlineLevel="1">
      <c r="A116" s="45" t="str">
        <f>'Приложение 3'!A118</f>
        <v>Субсидия на реализацию мероприятий в сфере дорожной деятельности </v>
      </c>
      <c r="B116" s="73" t="str">
        <f>'Приложение 3'!C118</f>
        <v>0409</v>
      </c>
      <c r="C116" s="73" t="str">
        <f>'Приложение 3'!D118</f>
        <v>18</v>
      </c>
      <c r="D116" s="73">
        <f>'Приложение 3'!E118</f>
        <v>0</v>
      </c>
      <c r="E116" s="73">
        <f>'Приложение 3'!F118</f>
        <v>200</v>
      </c>
      <c r="F116" s="58">
        <f>'Приложение 3'!G118</f>
        <v>14200</v>
      </c>
      <c r="G116" s="58">
        <f>'Приложение 3'!H118</f>
        <v>6488.46</v>
      </c>
      <c r="H116" s="58">
        <f t="shared" si="1"/>
        <v>45.693380281690146</v>
      </c>
    </row>
    <row r="117" spans="1:8" ht="36" outlineLevel="1">
      <c r="A117" s="45" t="str">
        <f>'Приложение 3'!A119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7" s="73" t="str">
        <f>'Приложение 3'!C119</f>
        <v>0409</v>
      </c>
      <c r="C117" s="73" t="str">
        <f>'Приложение 3'!D119</f>
        <v>18</v>
      </c>
      <c r="D117" s="73">
        <f>'Приложение 3'!E119</f>
        <v>0</v>
      </c>
      <c r="E117" s="73">
        <f>'Приложение 3'!F119</f>
        <v>200</v>
      </c>
      <c r="F117" s="58">
        <f>'Приложение 3'!G119</f>
        <v>143.43434</v>
      </c>
      <c r="G117" s="58">
        <f>'Приложение 3'!H119</f>
        <v>65.54</v>
      </c>
      <c r="H117" s="58">
        <f t="shared" si="1"/>
        <v>45.69338137575703</v>
      </c>
    </row>
    <row r="118" spans="1:8" ht="24.75" customHeight="1" outlineLevel="1">
      <c r="A118" s="45" t="str">
        <f>'Приложение 3'!A120</f>
        <v>Межбюджетные трансферты за счет средств субсидии на реализацию мероприятий в сфере дорожной деятельности</v>
      </c>
      <c r="B118" s="73" t="str">
        <f>'Приложение 3'!C120</f>
        <v>0409</v>
      </c>
      <c r="C118" s="73" t="str">
        <f>'Приложение 3'!D120</f>
        <v>18</v>
      </c>
      <c r="D118" s="73">
        <f>'Приложение 3'!E120</f>
        <v>0</v>
      </c>
      <c r="E118" s="73">
        <f>'Приложение 3'!F120</f>
        <v>500</v>
      </c>
      <c r="F118" s="58">
        <f>'Приложение 3'!G120</f>
        <v>12815</v>
      </c>
      <c r="G118" s="58">
        <f>'Приложение 3'!H120</f>
        <v>825.2577</v>
      </c>
      <c r="H118" s="58">
        <f t="shared" si="1"/>
        <v>6.439779165040968</v>
      </c>
    </row>
    <row r="119" spans="1:8" ht="24" hidden="1" outlineLevel="1">
      <c r="A119" s="45" t="str">
        <f>'Приложение 3'!A121</f>
        <v>Муниципальная программа "Комплексное развитие сельских территорий"</v>
      </c>
      <c r="B119" s="73" t="str">
        <f>'Приложение 3'!C121</f>
        <v>0409</v>
      </c>
      <c r="C119" s="73" t="str">
        <f>'Приложение 3'!D121</f>
        <v>03</v>
      </c>
      <c r="D119" s="73">
        <f>'Приложение 3'!E121</f>
        <v>0</v>
      </c>
      <c r="E119" s="73"/>
      <c r="F119" s="58">
        <f>'Приложение 3'!G121</f>
        <v>0</v>
      </c>
      <c r="G119" s="58">
        <f>'Приложение 3'!H121</f>
        <v>0</v>
      </c>
      <c r="H119" s="58" t="e">
        <f t="shared" si="1"/>
        <v>#DIV/0!</v>
      </c>
    </row>
    <row r="120" spans="1:8" ht="24" hidden="1" outlineLevel="1">
      <c r="A120" s="45" t="str">
        <f>'Приложение 3'!A122</f>
        <v>Предоставление субсидий бюджетным, автономным учреждениям и иным некоммерческим организациям</v>
      </c>
      <c r="B120" s="73" t="str">
        <f>'Приложение 3'!C122</f>
        <v>0409</v>
      </c>
      <c r="C120" s="73" t="str">
        <f>'Приложение 3'!D122</f>
        <v>03</v>
      </c>
      <c r="D120" s="73">
        <f>'Приложение 3'!E122</f>
        <v>0</v>
      </c>
      <c r="E120" s="73">
        <f>'Приложение 3'!F122</f>
        <v>600</v>
      </c>
      <c r="F120" s="58">
        <f>'Приложение 3'!G122</f>
        <v>0</v>
      </c>
      <c r="G120" s="58">
        <f>'Приложение 3'!H122</f>
        <v>0</v>
      </c>
      <c r="H120" s="58" t="e">
        <f t="shared" si="1"/>
        <v>#DIV/0!</v>
      </c>
    </row>
    <row r="121" spans="1:8" ht="16.5" customHeight="1" outlineLevel="2">
      <c r="A121" s="45" t="str">
        <f>'Приложение 3'!A123</f>
        <v>Другие вопросы в области национальной экономики</v>
      </c>
      <c r="B121" s="73" t="str">
        <f>'Приложение 3'!C123</f>
        <v>0412</v>
      </c>
      <c r="C121" s="73"/>
      <c r="D121" s="73"/>
      <c r="E121" s="73"/>
      <c r="F121" s="58">
        <f>'Приложение 3'!G123</f>
        <v>9067.65512</v>
      </c>
      <c r="G121" s="58">
        <f>'Приложение 3'!H123</f>
        <v>412.38800000000003</v>
      </c>
      <c r="H121" s="58">
        <f t="shared" si="1"/>
        <v>4.547901243954678</v>
      </c>
    </row>
    <row r="122" spans="1:8" ht="35.25" customHeight="1" outlineLevel="2">
      <c r="A122" s="45" t="str">
        <f>'Приложение 3'!A124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122" s="73" t="str">
        <f>'Приложение 3'!C124</f>
        <v>0412</v>
      </c>
      <c r="C122" s="73" t="str">
        <f>'Приложение 3'!D124</f>
        <v>04</v>
      </c>
      <c r="D122" s="73">
        <f>'Приложение 3'!E124</f>
        <v>0</v>
      </c>
      <c r="E122" s="73"/>
      <c r="F122" s="58">
        <f>'Приложение 3'!G124</f>
        <v>100</v>
      </c>
      <c r="G122" s="58">
        <f>'Приложение 3'!H124</f>
        <v>0</v>
      </c>
      <c r="H122" s="58">
        <f t="shared" si="1"/>
        <v>0</v>
      </c>
    </row>
    <row r="123" spans="1:8" ht="108" customHeight="1" hidden="1" outlineLevel="2">
      <c r="A123" s="45" t="str">
        <f>'Приложение 3'!A125</f>
        <v>Закупка товаров, работ и услуг для государственных (муниципальных) нужд</v>
      </c>
      <c r="B123" s="73" t="str">
        <f>'Приложение 3'!C125</f>
        <v>0412</v>
      </c>
      <c r="C123" s="73" t="str">
        <f>'Приложение 3'!D125</f>
        <v>04</v>
      </c>
      <c r="D123" s="73">
        <f>'Приложение 3'!E125</f>
        <v>0</v>
      </c>
      <c r="E123" s="73">
        <f>'Приложение 3'!F125</f>
        <v>200</v>
      </c>
      <c r="F123" s="58">
        <f>'Приложение 3'!G125</f>
        <v>0</v>
      </c>
      <c r="G123" s="58">
        <f>'Приложение 3'!H125</f>
        <v>0</v>
      </c>
      <c r="H123" s="58" t="e">
        <f t="shared" si="1"/>
        <v>#DIV/0!</v>
      </c>
    </row>
    <row r="124" spans="1:8" ht="165" customHeight="1" hidden="1" outlineLevel="2">
      <c r="A124" s="45" t="str">
        <f>'Приложение 3'!A126</f>
        <v>Социальное обеспечение и иные выплаты населению</v>
      </c>
      <c r="B124" s="73" t="str">
        <f>'Приложение 3'!C126</f>
        <v>0412</v>
      </c>
      <c r="C124" s="73" t="str">
        <f>'Приложение 3'!D126</f>
        <v>04</v>
      </c>
      <c r="D124" s="73">
        <f>'Приложение 3'!E126</f>
        <v>0</v>
      </c>
      <c r="E124" s="73">
        <f>'Приложение 3'!F126</f>
        <v>300</v>
      </c>
      <c r="F124" s="58">
        <f>'Приложение 3'!G126</f>
        <v>0</v>
      </c>
      <c r="G124" s="58">
        <f>'Приложение 3'!H126</f>
        <v>0</v>
      </c>
      <c r="H124" s="58" t="e">
        <f t="shared" si="1"/>
        <v>#DIV/0!</v>
      </c>
    </row>
    <row r="125" spans="1:8" ht="12.75" outlineLevel="2">
      <c r="A125" s="45" t="str">
        <f>'Приложение 3'!A127</f>
        <v>Иные бюджетные ассигнования</v>
      </c>
      <c r="B125" s="73" t="str">
        <f>'Приложение 3'!C127</f>
        <v>0412</v>
      </c>
      <c r="C125" s="73" t="str">
        <f>'Приложение 3'!D127</f>
        <v>04</v>
      </c>
      <c r="D125" s="73">
        <f>'Приложение 3'!E127</f>
        <v>0</v>
      </c>
      <c r="E125" s="73">
        <f>'Приложение 3'!F127</f>
        <v>800</v>
      </c>
      <c r="F125" s="58">
        <f>'Приложение 3'!G127</f>
        <v>100</v>
      </c>
      <c r="G125" s="58">
        <f>'Приложение 3'!H127</f>
        <v>0</v>
      </c>
      <c r="H125" s="58">
        <f t="shared" si="1"/>
        <v>0</v>
      </c>
    </row>
    <row r="126" spans="1:8" ht="39" customHeight="1" outlineLevel="2">
      <c r="A126" s="45" t="str">
        <f>'Приложение 3'!A128</f>
        <v>Муниципальная программа "Градостроительная политика на территории Алексеевского муниципального района на 2022–2024 годы"</v>
      </c>
      <c r="B126" s="73" t="str">
        <f>'Приложение 3'!C128</f>
        <v>0412</v>
      </c>
      <c r="C126" s="73" t="str">
        <f>'Приложение 3'!D128</f>
        <v>09</v>
      </c>
      <c r="D126" s="73">
        <f>'Приложение 3'!E128</f>
        <v>0</v>
      </c>
      <c r="E126" s="73"/>
      <c r="F126" s="58">
        <f>'Приложение 3'!G128</f>
        <v>8967.65512</v>
      </c>
      <c r="G126" s="58">
        <f>'Приложение 3'!H128</f>
        <v>412.38800000000003</v>
      </c>
      <c r="H126" s="58">
        <f t="shared" si="1"/>
        <v>4.59861574159199</v>
      </c>
    </row>
    <row r="127" spans="1:8" ht="24.75" customHeight="1" outlineLevel="2">
      <c r="A127" s="45" t="str">
        <f>'Приложение 3'!A129</f>
        <v>Закупка товаров, работ и услуг для государственных (муниципальных) нужд</v>
      </c>
      <c r="B127" s="73" t="str">
        <f>'Приложение 3'!C129</f>
        <v>0412</v>
      </c>
      <c r="C127" s="73" t="str">
        <f>'Приложение 3'!D129</f>
        <v>09</v>
      </c>
      <c r="D127" s="73">
        <f>'Приложение 3'!E129</f>
        <v>0</v>
      </c>
      <c r="E127" s="73">
        <f>'Приложение 3'!F129</f>
        <v>200</v>
      </c>
      <c r="F127" s="58">
        <f>'Приложение 3'!G129</f>
        <v>570</v>
      </c>
      <c r="G127" s="58">
        <f>'Приложение 3'!H129</f>
        <v>182.388</v>
      </c>
      <c r="H127" s="58">
        <f t="shared" si="1"/>
        <v>31.99789473684211</v>
      </c>
    </row>
    <row r="128" spans="1:8" ht="12.75" outlineLevel="2">
      <c r="A128" s="45" t="str">
        <f>'Приложение 3'!A130</f>
        <v>Межбюджетные трансферты</v>
      </c>
      <c r="B128" s="73" t="str">
        <f>'Приложение 3'!C130</f>
        <v>0412</v>
      </c>
      <c r="C128" s="73" t="str">
        <f>'Приложение 3'!D130</f>
        <v>09</v>
      </c>
      <c r="D128" s="73">
        <f>'Приложение 3'!E130</f>
        <v>0</v>
      </c>
      <c r="E128" s="73">
        <f>'Приложение 3'!F130</f>
        <v>500</v>
      </c>
      <c r="F128" s="58">
        <f>'Приложение 3'!G130</f>
        <v>230</v>
      </c>
      <c r="G128" s="58">
        <f>'Приложение 3'!H130</f>
        <v>230</v>
      </c>
      <c r="H128" s="58">
        <f t="shared" si="1"/>
        <v>100</v>
      </c>
    </row>
    <row r="129" spans="1:8" ht="16.5" customHeight="1" outlineLevel="3">
      <c r="A129" s="45" t="str">
        <f>'Приложение 3'!A131</f>
        <v>Проведение в 2022 году комплексных кадастровых работ</v>
      </c>
      <c r="B129" s="73" t="str">
        <f>'Приложение 3'!C131</f>
        <v>0412</v>
      </c>
      <c r="C129" s="73" t="str">
        <f>'Приложение 3'!D131</f>
        <v>09</v>
      </c>
      <c r="D129" s="73">
        <f>'Приложение 3'!E131</f>
        <v>0</v>
      </c>
      <c r="E129" s="73"/>
      <c r="F129" s="58">
        <f>'Приложение 3'!G131</f>
        <v>8167.65512</v>
      </c>
      <c r="G129" s="58">
        <f>'Приложение 3'!H131</f>
        <v>0</v>
      </c>
      <c r="H129" s="58">
        <f t="shared" si="1"/>
        <v>0</v>
      </c>
    </row>
    <row r="130" spans="1:8" ht="35.25" customHeight="1" outlineLevel="3">
      <c r="A130" s="45" t="str">
        <f>'Приложение 3'!A132</f>
        <v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в 2022 году комплексных кадастровых работ)</v>
      </c>
      <c r="B130" s="73" t="str">
        <f>'Приложение 3'!C132</f>
        <v>0412</v>
      </c>
      <c r="C130" s="73" t="str">
        <f>'Приложение 3'!D132</f>
        <v>09</v>
      </c>
      <c r="D130" s="73">
        <f>'Приложение 3'!E132</f>
        <v>0</v>
      </c>
      <c r="E130" s="73">
        <f>'Приложение 3'!F132</f>
        <v>200</v>
      </c>
      <c r="F130" s="58">
        <f>'Приложение 3'!G132</f>
        <v>7051.10012</v>
      </c>
      <c r="G130" s="58">
        <f>'Приложение 3'!H132</f>
        <v>0</v>
      </c>
      <c r="H130" s="58">
        <f t="shared" si="1"/>
        <v>0</v>
      </c>
    </row>
    <row r="131" spans="1:8" ht="27" customHeight="1" outlineLevel="3">
      <c r="A131" s="45" t="str">
        <f>'Приложение 3'!A133</f>
        <v>Закупка товаров, работ и услуг для государственных (муниципальных) нужд (софинансирования)</v>
      </c>
      <c r="B131" s="73" t="str">
        <f>'Приложение 3'!C133</f>
        <v>0412</v>
      </c>
      <c r="C131" s="73" t="str">
        <f>'Приложение 3'!D133</f>
        <v>09</v>
      </c>
      <c r="D131" s="73">
        <f>'Приложение 3'!E133</f>
        <v>0</v>
      </c>
      <c r="E131" s="73">
        <f>'Приложение 3'!F133</f>
        <v>200</v>
      </c>
      <c r="F131" s="58">
        <f>'Приложение 3'!G133</f>
        <v>1116.555</v>
      </c>
      <c r="G131" s="58">
        <f>'Приложение 3'!H133</f>
        <v>0</v>
      </c>
      <c r="H131" s="58">
        <f t="shared" si="1"/>
        <v>0</v>
      </c>
    </row>
    <row r="132" spans="1:8" ht="12.75" outlineLevel="2">
      <c r="A132" s="45" t="str">
        <f>'Приложение 3'!A134</f>
        <v>Жилищно-коммунальное хозяйство</v>
      </c>
      <c r="B132" s="73" t="str">
        <f>'Приложение 3'!C134</f>
        <v>0500</v>
      </c>
      <c r="C132" s="73"/>
      <c r="D132" s="73"/>
      <c r="E132" s="73"/>
      <c r="F132" s="58">
        <f>'Приложение 3'!G134</f>
        <v>26249.151289999998</v>
      </c>
      <c r="G132" s="58">
        <f>'Приложение 3'!H134</f>
        <v>11134.357919999999</v>
      </c>
      <c r="H132" s="58">
        <f t="shared" si="1"/>
        <v>42.41797304982503</v>
      </c>
    </row>
    <row r="133" spans="1:8" ht="12.75" outlineLevel="3">
      <c r="A133" s="45" t="str">
        <f>'Приложение 3'!A135</f>
        <v>Коммунальное хозяйство</v>
      </c>
      <c r="B133" s="73" t="str">
        <f>'Приложение 3'!C135</f>
        <v>0502</v>
      </c>
      <c r="C133" s="73"/>
      <c r="D133" s="73"/>
      <c r="E133" s="73"/>
      <c r="F133" s="58">
        <f>'Приложение 3'!G135</f>
        <v>18943.76429</v>
      </c>
      <c r="G133" s="58">
        <f>'Приложение 3'!H135</f>
        <v>4838.97092</v>
      </c>
      <c r="H133" s="58">
        <f t="shared" si="1"/>
        <v>25.543872093860394</v>
      </c>
    </row>
    <row r="134" spans="1:8" ht="37.5" customHeight="1" outlineLevel="3">
      <c r="A134" s="45" t="str">
        <f>'Приложение 3'!A136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4" s="73" t="str">
        <f>'Приложение 3'!C136</f>
        <v>0502</v>
      </c>
      <c r="C134" s="73" t="str">
        <f>'Приложение 3'!D136</f>
        <v>02</v>
      </c>
      <c r="D134" s="73">
        <f>'Приложение 3'!E136</f>
        <v>0</v>
      </c>
      <c r="E134" s="73"/>
      <c r="F134" s="58">
        <f>'Приложение 3'!G136</f>
        <v>14400.46429</v>
      </c>
      <c r="G134" s="58">
        <f>'Приложение 3'!H136</f>
        <v>2014.3531699999999</v>
      </c>
      <c r="H134" s="58">
        <f t="shared" si="1"/>
        <v>13.98811267077556</v>
      </c>
    </row>
    <row r="135" spans="1:8" ht="36.75" customHeight="1" outlineLevel="3">
      <c r="A135" s="45" t="str">
        <f>'Приложение 3'!A137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5" s="73" t="str">
        <f>'Приложение 3'!C137</f>
        <v>0502</v>
      </c>
      <c r="C135" s="73" t="str">
        <f>'Приложение 3'!D137</f>
        <v>02</v>
      </c>
      <c r="D135" s="73">
        <f>'Приложение 3'!E137</f>
        <v>1</v>
      </c>
      <c r="E135" s="73"/>
      <c r="F135" s="58">
        <f>'Приложение 3'!G137</f>
        <v>6400.46429</v>
      </c>
      <c r="G135" s="58">
        <f>'Приложение 3'!H137</f>
        <v>2014.3531699999999</v>
      </c>
      <c r="H135" s="58">
        <f t="shared" si="1"/>
        <v>31.471985136253295</v>
      </c>
    </row>
    <row r="136" spans="1:8" ht="24.75" customHeight="1" outlineLevel="3">
      <c r="A136" s="45" t="str">
        <f>'Приложение 3'!A138</f>
        <v>Закупка товаров, работ и услуг для государственных (муниципальных) нужд</v>
      </c>
      <c r="B136" s="73" t="str">
        <f>'Приложение 3'!C138</f>
        <v>0502</v>
      </c>
      <c r="C136" s="73" t="str">
        <f>'Приложение 3'!D138</f>
        <v>02</v>
      </c>
      <c r="D136" s="73">
        <f>'Приложение 3'!E138</f>
        <v>1</v>
      </c>
      <c r="E136" s="73">
        <f>'Приложение 3'!F138</f>
        <v>200</v>
      </c>
      <c r="F136" s="58">
        <f>'Приложение 3'!G138</f>
        <v>256.01985</v>
      </c>
      <c r="G136" s="58">
        <f>'Приложение 3'!H138</f>
        <v>256.01985</v>
      </c>
      <c r="H136" s="58">
        <f t="shared" si="1"/>
        <v>100</v>
      </c>
    </row>
    <row r="137" spans="1:8" ht="36" outlineLevel="3">
      <c r="A137" s="45" t="str">
        <f>'Приложение 3'!A139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7" s="73" t="str">
        <f>'Приложение 3'!C139</f>
        <v>0502</v>
      </c>
      <c r="C137" s="73" t="str">
        <f>'Приложение 3'!D139</f>
        <v>02</v>
      </c>
      <c r="D137" s="73">
        <f>'Приложение 3'!E139</f>
        <v>1</v>
      </c>
      <c r="E137" s="73">
        <f>'Приложение 3'!F139</f>
        <v>500</v>
      </c>
      <c r="F137" s="58">
        <f>'Приложение 3'!G139</f>
        <v>4444.44444</v>
      </c>
      <c r="G137" s="58">
        <f>'Приложение 3'!H139</f>
        <v>1333.33332</v>
      </c>
      <c r="H137" s="58">
        <f t="shared" si="1"/>
        <v>29.99999973</v>
      </c>
    </row>
    <row r="138" spans="1:8" ht="15" customHeight="1" outlineLevel="3">
      <c r="A138" s="45" t="str">
        <f>'Приложение 3'!A140</f>
        <v>Межбюджетные трансферты</v>
      </c>
      <c r="B138" s="73" t="str">
        <f>'Приложение 3'!C140</f>
        <v>0502</v>
      </c>
      <c r="C138" s="73" t="str">
        <f>'Приложение 3'!D140</f>
        <v>02</v>
      </c>
      <c r="D138" s="73">
        <f>'Приложение 3'!E140</f>
        <v>1</v>
      </c>
      <c r="E138" s="73">
        <f>'Приложение 3'!F140</f>
        <v>500</v>
      </c>
      <c r="F138" s="58">
        <f>'Приложение 3'!G140</f>
        <v>1700</v>
      </c>
      <c r="G138" s="58">
        <f>'Приложение 3'!H140</f>
        <v>425</v>
      </c>
      <c r="H138" s="58">
        <f aca="true" t="shared" si="2" ref="H138:H201">SUM(G138/F138)*100</f>
        <v>25</v>
      </c>
    </row>
    <row r="139" spans="1:8" ht="36" outlineLevel="3">
      <c r="A139" s="45" t="str">
        <f>'Приложение 3'!A141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39" s="73" t="str">
        <f>'Приложение 3'!C141</f>
        <v>0502</v>
      </c>
      <c r="C139" s="73" t="str">
        <f>'Приложение 3'!D141</f>
        <v>02</v>
      </c>
      <c r="D139" s="73">
        <f>'Приложение 3'!E141</f>
        <v>3</v>
      </c>
      <c r="E139" s="73"/>
      <c r="F139" s="58">
        <f>'Приложение 3'!G141</f>
        <v>8000</v>
      </c>
      <c r="G139" s="58">
        <f>'Приложение 3'!H141</f>
        <v>0</v>
      </c>
      <c r="H139" s="58">
        <f t="shared" si="2"/>
        <v>0</v>
      </c>
    </row>
    <row r="140" spans="1:8" ht="24" outlineLevel="3">
      <c r="A140" s="45" t="str">
        <f>'Приложение 3'!A142</f>
        <v>Капитальные вложения в объекты государственной (муниципальной) собственности</v>
      </c>
      <c r="B140" s="73" t="str">
        <f>'Приложение 3'!C142</f>
        <v>0502</v>
      </c>
      <c r="C140" s="73" t="str">
        <f>'Приложение 3'!D142</f>
        <v>02</v>
      </c>
      <c r="D140" s="73">
        <f>'Приложение 3'!E142</f>
        <v>3</v>
      </c>
      <c r="E140" s="73">
        <f>'Приложение 3'!F142</f>
        <v>400</v>
      </c>
      <c r="F140" s="58">
        <f>'Приложение 3'!G142</f>
        <v>8000</v>
      </c>
      <c r="G140" s="58">
        <f>'Приложение 3'!H142</f>
        <v>0</v>
      </c>
      <c r="H140" s="58">
        <f t="shared" si="2"/>
        <v>0</v>
      </c>
    </row>
    <row r="141" spans="1:8" ht="60" outlineLevel="3">
      <c r="A141" s="45" t="str">
        <f>'Приложение 3'!A143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141" s="73" t="str">
        <f>'Приложение 3'!C143</f>
        <v>0502</v>
      </c>
      <c r="C141" s="73" t="str">
        <f>'Приложение 3'!D143</f>
        <v>51</v>
      </c>
      <c r="D141" s="73">
        <f>'Приложение 3'!E143</f>
        <v>0</v>
      </c>
      <c r="E141" s="73"/>
      <c r="F141" s="58">
        <f>'Приложение 3'!G143</f>
        <v>4525</v>
      </c>
      <c r="G141" s="58">
        <f>'Приложение 3'!H143</f>
        <v>2806.31775</v>
      </c>
      <c r="H141" s="58">
        <f t="shared" si="2"/>
        <v>62.01807182320442</v>
      </c>
    </row>
    <row r="142" spans="1:8" ht="24" outlineLevel="3">
      <c r="A142" s="45" t="str">
        <f>'Приложение 3'!A144</f>
        <v>Предоставление субсидий бюджетным, автономным учреждениям и иным некоммерческим организациям</v>
      </c>
      <c r="B142" s="73" t="str">
        <f>'Приложение 3'!C144</f>
        <v>0502</v>
      </c>
      <c r="C142" s="73" t="str">
        <f>'Приложение 3'!D144</f>
        <v>51</v>
      </c>
      <c r="D142" s="73">
        <f>'Приложение 3'!E144</f>
        <v>0</v>
      </c>
      <c r="E142" s="73">
        <f>'Приложение 3'!F144</f>
        <v>600</v>
      </c>
      <c r="F142" s="58">
        <f>'Приложение 3'!G144</f>
        <v>4525</v>
      </c>
      <c r="G142" s="58">
        <f>'Приложение 3'!H144</f>
        <v>2806.31775</v>
      </c>
      <c r="H142" s="58">
        <f t="shared" si="2"/>
        <v>62.01807182320442</v>
      </c>
    </row>
    <row r="143" spans="1:8" ht="50.25" customHeight="1" outlineLevel="1">
      <c r="A143" s="45" t="str">
        <f>'Приложение 3'!A145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3" s="73" t="str">
        <f>'Приложение 3'!C145</f>
        <v>0502</v>
      </c>
      <c r="C143" s="73"/>
      <c r="D143" s="73"/>
      <c r="E143" s="73"/>
      <c r="F143" s="58">
        <f>'Приложение 3'!G145</f>
        <v>18.3</v>
      </c>
      <c r="G143" s="58">
        <f>'Приложение 3'!H145</f>
        <v>18.3</v>
      </c>
      <c r="H143" s="58">
        <f t="shared" si="2"/>
        <v>100</v>
      </c>
    </row>
    <row r="144" spans="1:8" ht="24" outlineLevel="1">
      <c r="A144" s="45" t="str">
        <f>'Приложение 3'!A146</f>
        <v>Непрограммные расходы органов местного самоуправления Алексеевского муниципального района</v>
      </c>
      <c r="B144" s="73" t="str">
        <f>'Приложение 3'!C146</f>
        <v>0502</v>
      </c>
      <c r="C144" s="73" t="str">
        <f>'Приложение 3'!D146</f>
        <v>99</v>
      </c>
      <c r="D144" s="73">
        <f>'Приложение 3'!E146</f>
        <v>0</v>
      </c>
      <c r="E144" s="73"/>
      <c r="F144" s="58">
        <f>'Приложение 3'!G146</f>
        <v>18.3</v>
      </c>
      <c r="G144" s="58">
        <f>'Приложение 3'!H146</f>
        <v>18.3</v>
      </c>
      <c r="H144" s="58">
        <f t="shared" si="2"/>
        <v>100</v>
      </c>
    </row>
    <row r="145" spans="1:8" ht="12.75" outlineLevel="1">
      <c r="A145" s="45" t="str">
        <f>'Приложение 3'!A147</f>
        <v>Иные бюджетные ассигнования</v>
      </c>
      <c r="B145" s="73" t="str">
        <f>'Приложение 3'!C147</f>
        <v>0502</v>
      </c>
      <c r="C145" s="73" t="str">
        <f>'Приложение 3'!D147</f>
        <v>99</v>
      </c>
      <c r="D145" s="73">
        <f>'Приложение 3'!E147</f>
        <v>0</v>
      </c>
      <c r="E145" s="73">
        <f>'Приложение 3'!F147</f>
        <v>800</v>
      </c>
      <c r="F145" s="58">
        <f>'Приложение 3'!G147</f>
        <v>18.3</v>
      </c>
      <c r="G145" s="58">
        <f>'Приложение 3'!H147</f>
        <v>18.3</v>
      </c>
      <c r="H145" s="58">
        <f t="shared" si="2"/>
        <v>100</v>
      </c>
    </row>
    <row r="146" spans="1:8" ht="12.75" outlineLevel="1">
      <c r="A146" s="45" t="str">
        <f>'Приложение 3'!A148</f>
        <v>Благоустройство</v>
      </c>
      <c r="B146" s="73" t="str">
        <f>'Приложение 3'!C148</f>
        <v>0503</v>
      </c>
      <c r="C146" s="73"/>
      <c r="D146" s="73"/>
      <c r="E146" s="73"/>
      <c r="F146" s="58">
        <f>'Приложение 3'!G148</f>
        <v>7305.387</v>
      </c>
      <c r="G146" s="58">
        <f>'Приложение 3'!H148</f>
        <v>6295.387</v>
      </c>
      <c r="H146" s="58">
        <f t="shared" si="2"/>
        <v>86.17458595964868</v>
      </c>
    </row>
    <row r="147" spans="1:8" ht="24" outlineLevel="1">
      <c r="A147" s="45" t="str">
        <f>'Приложение 3'!A149</f>
        <v>Непрограммные расходы органов местного самоуправления Алексеевского муниципального района</v>
      </c>
      <c r="B147" s="73" t="str">
        <f>'Приложение 3'!C149</f>
        <v>0503</v>
      </c>
      <c r="C147" s="73" t="str">
        <f>'Приложение 3'!D149</f>
        <v>99</v>
      </c>
      <c r="D147" s="73">
        <f>'Приложение 3'!E149</f>
        <v>0</v>
      </c>
      <c r="E147" s="73"/>
      <c r="F147" s="58">
        <f>'Приложение 3'!G149</f>
        <v>4599.2</v>
      </c>
      <c r="G147" s="58">
        <f>'Приложение 3'!H149</f>
        <v>3589.2</v>
      </c>
      <c r="H147" s="58">
        <f t="shared" si="2"/>
        <v>78.03965907114281</v>
      </c>
    </row>
    <row r="148" spans="1:8" ht="48" outlineLevel="1">
      <c r="A148" s="45" t="str">
        <f>'Приложение 3'!A150</f>
        <v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v>
      </c>
      <c r="B148" s="73" t="str">
        <f>'Приложение 3'!C150</f>
        <v>0503</v>
      </c>
      <c r="C148" s="73" t="str">
        <f>'Приложение 3'!D150</f>
        <v>99</v>
      </c>
      <c r="D148" s="73">
        <f>'Приложение 3'!E150</f>
        <v>0</v>
      </c>
      <c r="E148" s="73">
        <f>'Приложение 3'!F150</f>
        <v>500</v>
      </c>
      <c r="F148" s="58">
        <f>'Приложение 3'!G150</f>
        <v>4339.2</v>
      </c>
      <c r="G148" s="58">
        <f>'Приложение 3'!H150</f>
        <v>3589.2</v>
      </c>
      <c r="H148" s="58">
        <f t="shared" si="2"/>
        <v>82.71570796460178</v>
      </c>
    </row>
    <row r="149" spans="1:8" ht="36.75" customHeight="1" outlineLevel="1">
      <c r="A149" s="45" t="str">
        <f>'Приложение 3'!A151</f>
        <v>Межбюджетные трансферты (содержание на территории муниципального района межпоселенческих мест захоронения, организация ритуальных услуг)</v>
      </c>
      <c r="B149" s="73" t="str">
        <f>'Приложение 3'!C151</f>
        <v>0503</v>
      </c>
      <c r="C149" s="73" t="str">
        <f>'Приложение 3'!D151</f>
        <v>99</v>
      </c>
      <c r="D149" s="73">
        <f>'Приложение 3'!E151</f>
        <v>0</v>
      </c>
      <c r="E149" s="73">
        <f>'Приложение 3'!F151</f>
        <v>500</v>
      </c>
      <c r="F149" s="58">
        <f>'Приложение 3'!G151</f>
        <v>260</v>
      </c>
      <c r="G149" s="58">
        <f>'Приложение 3'!H151</f>
        <v>0</v>
      </c>
      <c r="H149" s="58">
        <f t="shared" si="2"/>
        <v>0</v>
      </c>
    </row>
    <row r="150" spans="1:8" ht="24" outlineLevel="1">
      <c r="A150" s="45" t="str">
        <f>'Приложение 3'!A152</f>
        <v>Муниципальная программа "Комплексное развитие сельских территорий"</v>
      </c>
      <c r="B150" s="73" t="str">
        <f>'Приложение 3'!C152</f>
        <v>0503</v>
      </c>
      <c r="C150" s="73" t="str">
        <f>'Приложение 3'!D152</f>
        <v>03</v>
      </c>
      <c r="D150" s="73">
        <f>'Приложение 3'!E152</f>
        <v>0</v>
      </c>
      <c r="E150" s="73"/>
      <c r="F150" s="58">
        <f>'Приложение 3'!G152</f>
        <v>2706.187</v>
      </c>
      <c r="G150" s="58">
        <f>'Приложение 3'!H152</f>
        <v>2706.187</v>
      </c>
      <c r="H150" s="58">
        <f t="shared" si="2"/>
        <v>100</v>
      </c>
    </row>
    <row r="151" spans="1:8" ht="24.75" customHeight="1" outlineLevel="1">
      <c r="A151" s="45" t="str">
        <f>'Приложение 3'!A153</f>
        <v>Предоставление субсидий бюджетным, автономным учреждениям и иным некоммерческим организациям</v>
      </c>
      <c r="B151" s="73" t="str">
        <f>'Приложение 3'!C153</f>
        <v>0503</v>
      </c>
      <c r="C151" s="73" t="str">
        <f>'Приложение 3'!D153</f>
        <v>03</v>
      </c>
      <c r="D151" s="73">
        <f>'Приложение 3'!E153</f>
        <v>0</v>
      </c>
      <c r="E151" s="73">
        <f>'Приложение 3'!F153</f>
        <v>600</v>
      </c>
      <c r="F151" s="58">
        <f>'Приложение 3'!G153</f>
        <v>2706.187</v>
      </c>
      <c r="G151" s="58">
        <f>'Приложение 3'!H153</f>
        <v>2706.187</v>
      </c>
      <c r="H151" s="58">
        <f t="shared" si="2"/>
        <v>100</v>
      </c>
    </row>
    <row r="152" spans="1:8" ht="12.75" outlineLevel="2">
      <c r="A152" s="45" t="str">
        <f>'Приложение 3'!A154</f>
        <v>Охрана окружающей среды</v>
      </c>
      <c r="B152" s="73" t="str">
        <f>'Приложение 3'!C154</f>
        <v>0600</v>
      </c>
      <c r="C152" s="73">
        <f>'Приложение 3'!D154</f>
        <v>0</v>
      </c>
      <c r="D152" s="73">
        <f>'Приложение 3'!E154</f>
        <v>0</v>
      </c>
      <c r="E152" s="73"/>
      <c r="F152" s="58">
        <f>'Приложение 3'!G154</f>
        <v>20</v>
      </c>
      <c r="G152" s="58">
        <f>'Приложение 3'!H154</f>
        <v>0</v>
      </c>
      <c r="H152" s="58">
        <f t="shared" si="2"/>
        <v>0</v>
      </c>
    </row>
    <row r="153" spans="1:8" ht="24" outlineLevel="5">
      <c r="A153" s="45" t="str">
        <f>'Приложение 3'!A155</f>
        <v>Муниципальная программа "Охрана окружающей среды Алексеевского муниципального района на 2019-2023 годы"</v>
      </c>
      <c r="B153" s="73" t="str">
        <f>'Приложение 3'!C155</f>
        <v>0605</v>
      </c>
      <c r="C153" s="73" t="str">
        <f>'Приложение 3'!D155</f>
        <v>05</v>
      </c>
      <c r="D153" s="73">
        <f>'Приложение 3'!E155</f>
        <v>0</v>
      </c>
      <c r="E153" s="73"/>
      <c r="F153" s="58">
        <f>'Приложение 3'!G155</f>
        <v>20</v>
      </c>
      <c r="G153" s="58">
        <f>'Приложение 3'!H155</f>
        <v>0</v>
      </c>
      <c r="H153" s="58">
        <f t="shared" si="2"/>
        <v>0</v>
      </c>
    </row>
    <row r="154" spans="1:8" ht="24" outlineLevel="5">
      <c r="A154" s="45" t="str">
        <f>'Приложение 3'!A156</f>
        <v>Закупка товаров, работ и услуг для государственных (муниципальных) нужд</v>
      </c>
      <c r="B154" s="73" t="str">
        <f>'Приложение 3'!C156</f>
        <v>0605</v>
      </c>
      <c r="C154" s="73" t="str">
        <f>'Приложение 3'!D156</f>
        <v>05</v>
      </c>
      <c r="D154" s="73">
        <f>'Приложение 3'!E156</f>
        <v>0</v>
      </c>
      <c r="E154" s="73">
        <f>'Приложение 3'!F156</f>
        <v>200</v>
      </c>
      <c r="F154" s="58">
        <f>'Приложение 3'!G156</f>
        <v>20</v>
      </c>
      <c r="G154" s="58">
        <f>'Приложение 3'!H156</f>
        <v>0</v>
      </c>
      <c r="H154" s="58">
        <f t="shared" si="2"/>
        <v>0</v>
      </c>
    </row>
    <row r="155" spans="1:8" ht="24" hidden="1" outlineLevel="5">
      <c r="A155" s="45" t="str">
        <f>'Приложение 3'!A157</f>
        <v>Предоставление субсидий бюджетным, автономным учреждениям и иным некоммерческим организациям</v>
      </c>
      <c r="B155" s="73" t="str">
        <f>'Приложение 3'!C157</f>
        <v>0605</v>
      </c>
      <c r="C155" s="73" t="str">
        <f>'Приложение 3'!D157</f>
        <v>05</v>
      </c>
      <c r="D155" s="73">
        <f>'Приложение 3'!E157</f>
        <v>0</v>
      </c>
      <c r="E155" s="73">
        <f>'Приложение 3'!F157</f>
        <v>600</v>
      </c>
      <c r="F155" s="58">
        <f>'Приложение 3'!G157</f>
        <v>0</v>
      </c>
      <c r="G155" s="58">
        <f>'Приложение 3'!H157</f>
        <v>0</v>
      </c>
      <c r="H155" s="58" t="e">
        <f t="shared" si="2"/>
        <v>#DIV/0!</v>
      </c>
    </row>
    <row r="156" spans="1:8" ht="12.75" outlineLevel="5">
      <c r="A156" s="45" t="str">
        <f>'Приложение 3'!A158</f>
        <v>Образование</v>
      </c>
      <c r="B156" s="73" t="str">
        <f>'Приложение 3'!C158</f>
        <v>0700</v>
      </c>
      <c r="C156" s="73"/>
      <c r="D156" s="73"/>
      <c r="E156" s="73"/>
      <c r="F156" s="58">
        <f>'Приложение 3'!G158</f>
        <v>248470.90156999996</v>
      </c>
      <c r="G156" s="58">
        <f>'Приложение 3'!H158</f>
        <v>172064.57645999998</v>
      </c>
      <c r="H156" s="58">
        <f t="shared" si="2"/>
        <v>69.24938710037458</v>
      </c>
    </row>
    <row r="157" spans="1:8" ht="12.75" outlineLevel="2">
      <c r="A157" s="45" t="str">
        <f>'Приложение 3'!A159</f>
        <v>Дошкольное образование</v>
      </c>
      <c r="B157" s="73" t="str">
        <f>'Приложение 3'!C159</f>
        <v>0701</v>
      </c>
      <c r="C157" s="73"/>
      <c r="D157" s="73"/>
      <c r="E157" s="73"/>
      <c r="F157" s="58">
        <f>'Приложение 3'!G159</f>
        <v>38430.17319</v>
      </c>
      <c r="G157" s="58">
        <f>'Приложение 3'!H159</f>
        <v>24947.288940000002</v>
      </c>
      <c r="H157" s="58">
        <f t="shared" si="2"/>
        <v>64.91588996141083</v>
      </c>
    </row>
    <row r="158" spans="1:8" ht="35.25" customHeight="1" outlineLevel="2">
      <c r="A158" s="45" t="str">
        <f>'Приложение 3'!A160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58" s="73" t="str">
        <f>'Приложение 3'!C160</f>
        <v>0701</v>
      </c>
      <c r="C158" s="73" t="str">
        <f>'Приложение 3'!D160</f>
        <v>02</v>
      </c>
      <c r="D158" s="73">
        <f>'Приложение 3'!E160</f>
        <v>0</v>
      </c>
      <c r="E158" s="73"/>
      <c r="F158" s="58">
        <f>'Приложение 3'!G160</f>
        <v>346.21279</v>
      </c>
      <c r="G158" s="58">
        <f>'Приложение 3'!H160</f>
        <v>75.97429</v>
      </c>
      <c r="H158" s="58">
        <f t="shared" si="2"/>
        <v>21.94439148247527</v>
      </c>
    </row>
    <row r="159" spans="1:8" ht="36" hidden="1" outlineLevel="2">
      <c r="A159" s="45" t="str">
        <f>'Приложение 3'!A161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9" s="73" t="str">
        <f>'Приложение 3'!C161</f>
        <v>0701</v>
      </c>
      <c r="C159" s="73" t="str">
        <f>'Приложение 3'!D161</f>
        <v>02</v>
      </c>
      <c r="D159" s="73">
        <f>'Приложение 3'!E161</f>
        <v>3</v>
      </c>
      <c r="E159" s="73"/>
      <c r="F159" s="58">
        <f>'Приложение 3'!G161</f>
        <v>0</v>
      </c>
      <c r="G159" s="58">
        <f>'Приложение 3'!H161</f>
        <v>0</v>
      </c>
      <c r="H159" s="58" t="e">
        <f t="shared" si="2"/>
        <v>#DIV/0!</v>
      </c>
    </row>
    <row r="160" spans="1:8" ht="21" customHeight="1" hidden="1" outlineLevel="2">
      <c r="A160" s="45" t="str">
        <f>'Приложение 3'!A162</f>
        <v>Капитальные вложения в объекты государственной (муниципальной) собственности</v>
      </c>
      <c r="B160" s="73" t="str">
        <f>'Приложение 3'!C162</f>
        <v>0701</v>
      </c>
      <c r="C160" s="73" t="str">
        <f>'Приложение 3'!D162</f>
        <v>02</v>
      </c>
      <c r="D160" s="73">
        <f>'Приложение 3'!E162</f>
        <v>3</v>
      </c>
      <c r="E160" s="73" t="s">
        <v>268</v>
      </c>
      <c r="F160" s="58">
        <f>'Приложение 3'!G162</f>
        <v>0</v>
      </c>
      <c r="G160" s="58">
        <f>'Приложение 3'!H162</f>
        <v>0</v>
      </c>
      <c r="H160" s="58" t="e">
        <f t="shared" si="2"/>
        <v>#DIV/0!</v>
      </c>
    </row>
    <row r="161" spans="1:8" ht="24" hidden="1" outlineLevel="2">
      <c r="A161" s="45" t="str">
        <f>'Приложение 3'!A163</f>
        <v>Предоставление субсидий бюджетным, автономным учреждениям и иным некоммерческим организациям</v>
      </c>
      <c r="B161" s="73" t="str">
        <f>'Приложение 3'!C163</f>
        <v>0701</v>
      </c>
      <c r="C161" s="73" t="str">
        <f>'Приложение 3'!D163</f>
        <v>02</v>
      </c>
      <c r="D161" s="73">
        <f>'Приложение 3'!E163</f>
        <v>3</v>
      </c>
      <c r="E161" s="73">
        <f>'Приложение 3'!F163</f>
        <v>600</v>
      </c>
      <c r="F161" s="58">
        <f>'Приложение 3'!G163</f>
        <v>0</v>
      </c>
      <c r="G161" s="58">
        <f>'Приложение 3'!H163</f>
        <v>0</v>
      </c>
      <c r="H161" s="58" t="e">
        <f t="shared" si="2"/>
        <v>#DIV/0!</v>
      </c>
    </row>
    <row r="162" spans="1:8" ht="38.25" customHeight="1" outlineLevel="2">
      <c r="A162" s="45" t="str">
        <f>'Приложение 3'!A164</f>
        <v>Подпрограмма "Энергосбережение и повышение энергетической эффективности Алексеевского муниципального района"</v>
      </c>
      <c r="B162" s="73" t="str">
        <f>'Приложение 3'!C164</f>
        <v>0701</v>
      </c>
      <c r="C162" s="73" t="str">
        <f>'Приложение 3'!D164</f>
        <v>02</v>
      </c>
      <c r="D162" s="73">
        <f>'Приложение 3'!E164</f>
        <v>4</v>
      </c>
      <c r="E162" s="73"/>
      <c r="F162" s="58">
        <f>'Приложение 3'!G164</f>
        <v>346.21279</v>
      </c>
      <c r="G162" s="58">
        <f>'Приложение 3'!H164</f>
        <v>75.97429</v>
      </c>
      <c r="H162" s="58">
        <f t="shared" si="2"/>
        <v>21.94439148247527</v>
      </c>
    </row>
    <row r="163" spans="1:8" ht="24" outlineLevel="2">
      <c r="A163" s="45" t="str">
        <f>'Приложение 3'!A165</f>
        <v>Предоставление субсидий бюджетным, автономным учреждениям и иным некоммерческим организациям</v>
      </c>
      <c r="B163" s="73" t="str">
        <f>'Приложение 3'!C165</f>
        <v>0701</v>
      </c>
      <c r="C163" s="73" t="str">
        <f>'Приложение 3'!D165</f>
        <v>02</v>
      </c>
      <c r="D163" s="73">
        <f>'Приложение 3'!E165</f>
        <v>4</v>
      </c>
      <c r="E163" s="73">
        <f>'Приложение 3'!F165</f>
        <v>600</v>
      </c>
      <c r="F163" s="58">
        <f>'Приложение 3'!G165</f>
        <v>346.21279</v>
      </c>
      <c r="G163" s="58">
        <f>'Приложение 3'!H165</f>
        <v>75.97429</v>
      </c>
      <c r="H163" s="58">
        <f t="shared" si="2"/>
        <v>21.94439148247527</v>
      </c>
    </row>
    <row r="164" spans="1:8" ht="96" outlineLevel="2">
      <c r="A164" s="45" t="str">
        <f>'Приложение 3'!A166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64" s="73" t="str">
        <f>'Приложение 3'!C166</f>
        <v>0701</v>
      </c>
      <c r="C164" s="73" t="str">
        <f>'Приложение 3'!D166</f>
        <v>22</v>
      </c>
      <c r="D164" s="73">
        <f>'Приложение 3'!E166</f>
        <v>0</v>
      </c>
      <c r="E164" s="73"/>
      <c r="F164" s="58">
        <f>'Приложение 3'!G166</f>
        <v>148.6804</v>
      </c>
      <c r="G164" s="58">
        <f>'Приложение 3'!H166</f>
        <v>35.7477</v>
      </c>
      <c r="H164" s="58">
        <f t="shared" si="2"/>
        <v>24.043317074745566</v>
      </c>
    </row>
    <row r="165" spans="1:8" ht="24" outlineLevel="2">
      <c r="A165" s="45" t="str">
        <f>'Приложение 3'!A167</f>
        <v>Предоставление субсидий бюджетным, автономным учреждениям и иным некоммерческим организациям</v>
      </c>
      <c r="B165" s="73" t="str">
        <f>'Приложение 3'!C167</f>
        <v>0701</v>
      </c>
      <c r="C165" s="73" t="str">
        <f>'Приложение 3'!D167</f>
        <v>22</v>
      </c>
      <c r="D165" s="73">
        <f>'Приложение 3'!E167</f>
        <v>0</v>
      </c>
      <c r="E165" s="73">
        <f>'Приложение 3'!F167</f>
        <v>600</v>
      </c>
      <c r="F165" s="58">
        <f>'Приложение 3'!G167</f>
        <v>148.6804</v>
      </c>
      <c r="G165" s="58">
        <f>'Приложение 3'!H167</f>
        <v>35.7477</v>
      </c>
      <c r="H165" s="58">
        <f t="shared" si="2"/>
        <v>24.043317074745566</v>
      </c>
    </row>
    <row r="166" spans="1:8" ht="36" outlineLevel="2">
      <c r="A166" s="45" t="str">
        <f>'Приложение 3'!A168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66" s="73" t="str">
        <f>'Приложение 3'!C168</f>
        <v>0701</v>
      </c>
      <c r="C166" s="73" t="str">
        <f>'Приложение 3'!D168</f>
        <v>52</v>
      </c>
      <c r="D166" s="73">
        <f>'Приложение 3'!E168</f>
        <v>0</v>
      </c>
      <c r="E166" s="73"/>
      <c r="F166" s="58">
        <f>'Приложение 3'!G168</f>
        <v>24255.88</v>
      </c>
      <c r="G166" s="58">
        <f>'Приложение 3'!H168</f>
        <v>16649.184200000003</v>
      </c>
      <c r="H166" s="58">
        <f t="shared" si="2"/>
        <v>68.63978631160775</v>
      </c>
    </row>
    <row r="167" spans="1:8" ht="24" outlineLevel="2">
      <c r="A167" s="45" t="str">
        <f>'Приложение 3'!A169</f>
        <v>Предоставление субсидий бюджетным, автономным учреждениям и иным некоммерческим организациям</v>
      </c>
      <c r="B167" s="73" t="str">
        <f>'Приложение 3'!C169</f>
        <v>0701</v>
      </c>
      <c r="C167" s="73" t="str">
        <f>'Приложение 3'!D169</f>
        <v>52</v>
      </c>
      <c r="D167" s="73">
        <f>'Приложение 3'!E169</f>
        <v>0</v>
      </c>
      <c r="E167" s="73">
        <f>'Приложение 3'!F169</f>
        <v>600</v>
      </c>
      <c r="F167" s="58">
        <f>'Приложение 3'!G169</f>
        <v>10957.08</v>
      </c>
      <c r="G167" s="58">
        <f>'Приложение 3'!H169</f>
        <v>7170.01918</v>
      </c>
      <c r="H167" s="58">
        <f t="shared" si="2"/>
        <v>65.43731705892446</v>
      </c>
    </row>
    <row r="168" spans="1:8" ht="36" outlineLevel="2">
      <c r="A168" s="45" t="str">
        <f>'Приложение 3'!A170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8" s="73" t="str">
        <f>'Приложение 3'!C170</f>
        <v>0701</v>
      </c>
      <c r="C168" s="73" t="str">
        <f>'Приложение 3'!D170</f>
        <v>52</v>
      </c>
      <c r="D168" s="73">
        <f>'Приложение 3'!E170</f>
        <v>0</v>
      </c>
      <c r="E168" s="73">
        <f>'Приложение 3'!F170</f>
        <v>600</v>
      </c>
      <c r="F168" s="58">
        <f>'Приложение 3'!G170</f>
        <v>13274.5</v>
      </c>
      <c r="G168" s="58">
        <f>'Приложение 3'!H170</f>
        <v>9462.76474</v>
      </c>
      <c r="H168" s="58">
        <f t="shared" si="2"/>
        <v>71.28528185619044</v>
      </c>
    </row>
    <row r="169" spans="1:8" ht="46.5" customHeight="1" hidden="1" outlineLevel="2">
      <c r="A169" s="45" t="str">
        <f>'Приложение 3'!A171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9" s="73" t="str">
        <f>'Приложение 3'!C171</f>
        <v>0701</v>
      </c>
      <c r="C169" s="73" t="str">
        <f>'Приложение 3'!D171</f>
        <v>52</v>
      </c>
      <c r="D169" s="73">
        <f>'Приложение 3'!E171</f>
        <v>0</v>
      </c>
      <c r="E169" s="73">
        <f>'Приложение 3'!F171</f>
        <v>600</v>
      </c>
      <c r="F169" s="58">
        <f>'Приложение 3'!G171</f>
        <v>0</v>
      </c>
      <c r="G169" s="58">
        <f>'Приложение 3'!H171</f>
        <v>0</v>
      </c>
      <c r="H169" s="58" t="e">
        <f t="shared" si="2"/>
        <v>#DIV/0!</v>
      </c>
    </row>
    <row r="170" spans="1:8" ht="23.25" customHeight="1" outlineLevel="2">
      <c r="A170" s="45" t="str">
        <f>'Приложение 3'!A172</f>
        <v>За счет средств на расходы на осуществление социальных гарантий молодым специалистам</v>
      </c>
      <c r="B170" s="73" t="str">
        <f>'Приложение 3'!C172</f>
        <v>0701</v>
      </c>
      <c r="C170" s="73" t="str">
        <f>'Приложение 3'!D172</f>
        <v>52</v>
      </c>
      <c r="D170" s="73">
        <f>'Приложение 3'!E172</f>
        <v>0</v>
      </c>
      <c r="E170" s="73">
        <f>'Приложение 3'!F172</f>
        <v>600</v>
      </c>
      <c r="F170" s="58">
        <f>'Приложение 3'!G172</f>
        <v>24.299999999999997</v>
      </c>
      <c r="G170" s="58">
        <f>'Приложение 3'!H172</f>
        <v>16.40028</v>
      </c>
      <c r="H170" s="58">
        <f t="shared" si="2"/>
        <v>67.49086419753087</v>
      </c>
    </row>
    <row r="171" spans="1:8" ht="108" hidden="1" outlineLevel="2">
      <c r="A171" s="45" t="str">
        <f>'Приложение 3'!A173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1" s="73" t="str">
        <f>'Приложение 3'!C173</f>
        <v>0701</v>
      </c>
      <c r="C171" s="73" t="str">
        <f>'Приложение 3'!D173</f>
        <v>52</v>
      </c>
      <c r="D171" s="73">
        <f>'Приложение 3'!E173</f>
        <v>0</v>
      </c>
      <c r="E171" s="73">
        <f>'Приложение 3'!F173</f>
        <v>600</v>
      </c>
      <c r="F171" s="58">
        <f>'Приложение 3'!G173</f>
        <v>0</v>
      </c>
      <c r="G171" s="58">
        <f>'Приложение 3'!H173</f>
        <v>0</v>
      </c>
      <c r="H171" s="58" t="e">
        <f t="shared" si="2"/>
        <v>#DIV/0!</v>
      </c>
    </row>
    <row r="172" spans="1:8" ht="36" outlineLevel="2">
      <c r="A172" s="45" t="str">
        <f>'Приложение 3'!A174</f>
        <v>Ведомственная целевая программа "Развитие образования детей на территории Алексеевского муниципального района на 2020-2022 годы"</v>
      </c>
      <c r="B172" s="73" t="str">
        <f>'Приложение 3'!C174</f>
        <v>0701</v>
      </c>
      <c r="C172" s="73" t="str">
        <f>'Приложение 3'!D174</f>
        <v>53</v>
      </c>
      <c r="D172" s="73">
        <f>'Приложение 3'!E174</f>
        <v>0</v>
      </c>
      <c r="E172" s="73"/>
      <c r="F172" s="58">
        <f>'Приложение 3'!G174</f>
        <v>13679.399999999998</v>
      </c>
      <c r="G172" s="58">
        <f>'Приложение 3'!H174</f>
        <v>8186.38275</v>
      </c>
      <c r="H172" s="58">
        <f t="shared" si="2"/>
        <v>59.84460392999694</v>
      </c>
    </row>
    <row r="173" spans="1:8" ht="12.75" outlineLevel="2">
      <c r="A173" s="45" t="str">
        <f>'Приложение 3'!A175</f>
        <v>Подпрограмма "Развитие дошкольного образования детей"</v>
      </c>
      <c r="B173" s="73" t="str">
        <f>'Приложение 3'!C175</f>
        <v>0701</v>
      </c>
      <c r="C173" s="73" t="str">
        <f>'Приложение 3'!D175</f>
        <v>53</v>
      </c>
      <c r="D173" s="73">
        <f>'Приложение 3'!E175</f>
        <v>1</v>
      </c>
      <c r="E173" s="73">
        <f>'Приложение 3'!F175</f>
        <v>0</v>
      </c>
      <c r="F173" s="58">
        <f>'Приложение 3'!G175</f>
        <v>13679.399999999998</v>
      </c>
      <c r="G173" s="58">
        <f>'Приложение 3'!H175</f>
        <v>8186.38275</v>
      </c>
      <c r="H173" s="58">
        <f t="shared" si="2"/>
        <v>59.84460392999694</v>
      </c>
    </row>
    <row r="174" spans="1:8" ht="74.25" customHeight="1" outlineLevel="2">
      <c r="A174" s="45" t="str">
        <f>'Приложение 3'!A176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4" s="73" t="str">
        <f>'Приложение 3'!C176</f>
        <v>0701</v>
      </c>
      <c r="C174" s="73" t="str">
        <f>'Приложение 3'!D176</f>
        <v>53</v>
      </c>
      <c r="D174" s="73">
        <f>'Приложение 3'!E176</f>
        <v>1</v>
      </c>
      <c r="E174" s="73">
        <f>'Приложение 3'!F176</f>
        <v>600</v>
      </c>
      <c r="F174" s="58">
        <f>'Приложение 3'!G176</f>
        <v>9171.599999999999</v>
      </c>
      <c r="G174" s="58">
        <f>'Приложение 3'!H176</f>
        <v>5651.71657</v>
      </c>
      <c r="H174" s="58">
        <f t="shared" si="2"/>
        <v>61.62192605434167</v>
      </c>
    </row>
    <row r="175" spans="1:8" ht="51" customHeight="1" hidden="1" outlineLevel="2">
      <c r="A175" s="45" t="str">
        <f>'Приложение 3'!A177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5" s="73" t="str">
        <f>'Приложение 3'!C177</f>
        <v>0701</v>
      </c>
      <c r="C175" s="73" t="str">
        <f>'Приложение 3'!D177</f>
        <v>53</v>
      </c>
      <c r="D175" s="73">
        <f>'Приложение 3'!E177</f>
        <v>1</v>
      </c>
      <c r="E175" s="73">
        <f>'Приложение 3'!F177</f>
        <v>600</v>
      </c>
      <c r="F175" s="58">
        <f>'Приложение 3'!G177</f>
        <v>0</v>
      </c>
      <c r="G175" s="58">
        <f>'Приложение 3'!H177</f>
        <v>0</v>
      </c>
      <c r="H175" s="58" t="e">
        <f t="shared" si="2"/>
        <v>#DIV/0!</v>
      </c>
    </row>
    <row r="176" spans="1:8" ht="27.75" customHeight="1" outlineLevel="2">
      <c r="A176" s="45" t="str">
        <f>'Приложение 3'!A178</f>
        <v>Предоставление субсидий бюджетным, автономным учреждениям и иным некоммерческим организациям</v>
      </c>
      <c r="B176" s="73" t="str">
        <f>'Приложение 3'!C178</f>
        <v>0701</v>
      </c>
      <c r="C176" s="73" t="str">
        <f>'Приложение 3'!D178</f>
        <v>53</v>
      </c>
      <c r="D176" s="73">
        <f>'Приложение 3'!E178</f>
        <v>1</v>
      </c>
      <c r="E176" s="73">
        <f>'Приложение 3'!F178</f>
        <v>600</v>
      </c>
      <c r="F176" s="58">
        <f>'Приложение 3'!G178</f>
        <v>4507.8</v>
      </c>
      <c r="G176" s="58">
        <f>'Приложение 3'!H178</f>
        <v>2534.66618</v>
      </c>
      <c r="H176" s="58">
        <f t="shared" si="2"/>
        <v>56.22845246018014</v>
      </c>
    </row>
    <row r="177" spans="1:8" ht="71.25" customHeight="1" hidden="1" outlineLevel="2">
      <c r="A177" s="45" t="str">
        <f>'Приложение 3'!A179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77" s="73" t="str">
        <f>'Приложение 3'!C179</f>
        <v>0701</v>
      </c>
      <c r="C177" s="73" t="str">
        <f>'Приложение 3'!D179</f>
        <v>53</v>
      </c>
      <c r="D177" s="73">
        <f>'Приложение 3'!E179</f>
        <v>0</v>
      </c>
      <c r="E177" s="73">
        <f>'Приложение 3'!F179</f>
        <v>600</v>
      </c>
      <c r="F177" s="58">
        <f>'Приложение 3'!G179</f>
        <v>0</v>
      </c>
      <c r="G177" s="58">
        <f>'Приложение 3'!H179</f>
        <v>0</v>
      </c>
      <c r="H177" s="58" t="e">
        <f t="shared" si="2"/>
        <v>#DIV/0!</v>
      </c>
    </row>
    <row r="178" spans="1:8" ht="7.5" customHeight="1" hidden="1" outlineLevel="2">
      <c r="A178" s="45" t="str">
        <f>'Приложение 3'!A180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8" s="73" t="str">
        <f>'Приложение 3'!C180</f>
        <v>0701</v>
      </c>
      <c r="C178" s="73" t="str">
        <f>'Приложение 3'!D180</f>
        <v>53</v>
      </c>
      <c r="D178" s="73">
        <f>'Приложение 3'!E180</f>
        <v>0</v>
      </c>
      <c r="E178" s="73">
        <f>'Приложение 3'!F180</f>
        <v>600</v>
      </c>
      <c r="F178" s="58">
        <f>'Приложение 3'!G180</f>
        <v>0</v>
      </c>
      <c r="G178" s="58">
        <f>'Приложение 3'!H180</f>
        <v>0</v>
      </c>
      <c r="H178" s="58" t="e">
        <f t="shared" si="2"/>
        <v>#DIV/0!</v>
      </c>
    </row>
    <row r="179" spans="1:8" ht="12.75" outlineLevel="5">
      <c r="A179" s="45" t="str">
        <f>'Приложение 3'!A181</f>
        <v>Общее образование</v>
      </c>
      <c r="B179" s="73" t="str">
        <f>'Приложение 3'!C181</f>
        <v>0702</v>
      </c>
      <c r="C179" s="73"/>
      <c r="D179" s="73"/>
      <c r="E179" s="73"/>
      <c r="F179" s="58">
        <f>'Приложение 3'!G181</f>
        <v>191118.82837999996</v>
      </c>
      <c r="G179" s="58">
        <f>'Приложение 3'!H181</f>
        <v>134002.69155</v>
      </c>
      <c r="H179" s="58">
        <f t="shared" si="2"/>
        <v>70.1148561268718</v>
      </c>
    </row>
    <row r="180" spans="1:8" ht="24" outlineLevel="5">
      <c r="A180" s="45" t="str">
        <f>'Приложение 3'!A182</f>
        <v>Школы-детские сады, школы начальные, неполные средние и средние</v>
      </c>
      <c r="B180" s="73" t="str">
        <f>'Приложение 3'!C182</f>
        <v>0702</v>
      </c>
      <c r="C180" s="73"/>
      <c r="D180" s="73"/>
      <c r="E180" s="73"/>
      <c r="F180" s="58">
        <f>'Приложение 3'!G182</f>
        <v>191118.82837999996</v>
      </c>
      <c r="G180" s="58">
        <f>'Приложение 3'!H182</f>
        <v>134002.69155</v>
      </c>
      <c r="H180" s="58">
        <f t="shared" si="2"/>
        <v>70.1148561268718</v>
      </c>
    </row>
    <row r="181" spans="1:8" ht="37.5" customHeight="1" outlineLevel="5">
      <c r="A181" s="45" t="str">
        <f>'Приложение 3'!A183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81" s="73" t="str">
        <f>'Приложение 3'!C183</f>
        <v>0702</v>
      </c>
      <c r="C181" s="73" t="str">
        <f>'Приложение 3'!D183</f>
        <v>02</v>
      </c>
      <c r="D181" s="73">
        <f>'Приложение 3'!E183</f>
        <v>0</v>
      </c>
      <c r="E181" s="73"/>
      <c r="F181" s="58">
        <f>'Приложение 3'!G183</f>
        <v>18195.997349999998</v>
      </c>
      <c r="G181" s="58">
        <f>'Приложение 3'!H183</f>
        <v>9711.51491</v>
      </c>
      <c r="H181" s="58">
        <f t="shared" si="2"/>
        <v>53.37170985024353</v>
      </c>
    </row>
    <row r="182" spans="1:8" ht="33.75" customHeight="1" outlineLevel="5">
      <c r="A182" s="45" t="str">
        <f>'Приложение 3'!A184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2" s="73" t="str">
        <f>'Приложение 3'!C184</f>
        <v>0702</v>
      </c>
      <c r="C182" s="73" t="str">
        <f>'Приложение 3'!D184</f>
        <v>02</v>
      </c>
      <c r="D182" s="73">
        <f>'Приложение 3'!E184</f>
        <v>3</v>
      </c>
      <c r="E182" s="73"/>
      <c r="F182" s="58">
        <f>'Приложение 3'!G184</f>
        <v>16573.749289999996</v>
      </c>
      <c r="G182" s="58">
        <f>'Приложение 3'!H184</f>
        <v>8532.28646</v>
      </c>
      <c r="H182" s="58">
        <f t="shared" si="2"/>
        <v>51.480726000531895</v>
      </c>
    </row>
    <row r="183" spans="1:8" ht="24" hidden="1" outlineLevel="5">
      <c r="A183" s="45" t="str">
        <f>'Приложение 3'!A185</f>
        <v>Закупка товаров, работ и услуг для государственных (муниципальных) нужд</v>
      </c>
      <c r="B183" s="73" t="str">
        <f>'Приложение 3'!C185</f>
        <v>0702</v>
      </c>
      <c r="C183" s="73" t="str">
        <f>'Приложение 3'!D185</f>
        <v>02</v>
      </c>
      <c r="D183" s="73">
        <f>'Приложение 3'!E185</f>
        <v>3</v>
      </c>
      <c r="E183" s="73" t="s">
        <v>148</v>
      </c>
      <c r="F183" s="58">
        <f>'Приложение 3'!G185</f>
        <v>0</v>
      </c>
      <c r="G183" s="58">
        <f>'Приложение 3'!H185</f>
        <v>0</v>
      </c>
      <c r="H183" s="58" t="e">
        <f t="shared" si="2"/>
        <v>#DIV/0!</v>
      </c>
    </row>
    <row r="184" spans="1:8" ht="24" outlineLevel="5">
      <c r="A184" s="45" t="str">
        <f>'Приложение 3'!A186</f>
        <v>Предоставление субсидий бюджетным, автономным учреждениям и иным некоммерческим организациям</v>
      </c>
      <c r="B184" s="73" t="str">
        <f>'Приложение 3'!C186</f>
        <v>0702</v>
      </c>
      <c r="C184" s="73" t="str">
        <f>'Приложение 3'!D186</f>
        <v>02</v>
      </c>
      <c r="D184" s="73">
        <f>'Приложение 3'!E186</f>
        <v>3</v>
      </c>
      <c r="E184" s="73">
        <f>'Приложение 3'!F186</f>
        <v>600</v>
      </c>
      <c r="F184" s="58">
        <f>'Приложение 3'!G186</f>
        <v>16573.749289999996</v>
      </c>
      <c r="G184" s="58">
        <f>'Приложение 3'!H186</f>
        <v>8532.28646</v>
      </c>
      <c r="H184" s="58">
        <f t="shared" si="2"/>
        <v>51.480726000531895</v>
      </c>
    </row>
    <row r="185" spans="1:8" ht="36.75" customHeight="1" outlineLevel="5">
      <c r="A185" s="45" t="str">
        <f>'Приложение 3'!A187</f>
        <v>Подпрограмма "Энергосбережение и повышение энергетической эффективности Алексеевского муниципального района"</v>
      </c>
      <c r="B185" s="73" t="str">
        <f>'Приложение 3'!C187</f>
        <v>0702</v>
      </c>
      <c r="C185" s="73" t="str">
        <f>'Приложение 3'!D187</f>
        <v>02</v>
      </c>
      <c r="D185" s="73">
        <f>'Приложение 3'!E187</f>
        <v>4</v>
      </c>
      <c r="E185" s="73"/>
      <c r="F185" s="58">
        <f>'Приложение 3'!G187</f>
        <v>1622.24806</v>
      </c>
      <c r="G185" s="58">
        <f>'Приложение 3'!H187</f>
        <v>1179.22845</v>
      </c>
      <c r="H185" s="58">
        <f t="shared" si="2"/>
        <v>72.6910069474825</v>
      </c>
    </row>
    <row r="186" spans="1:8" ht="24" outlineLevel="5">
      <c r="A186" s="45" t="str">
        <f>'Приложение 3'!A188</f>
        <v>Закупка товаров, работ и услуг для государственных (муниципальных) нужд</v>
      </c>
      <c r="B186" s="73" t="str">
        <f>'Приложение 3'!C188</f>
        <v>0702</v>
      </c>
      <c r="C186" s="73" t="str">
        <f>'Приложение 3'!D188</f>
        <v>02</v>
      </c>
      <c r="D186" s="73">
        <f>'Приложение 3'!E188</f>
        <v>4</v>
      </c>
      <c r="E186" s="73">
        <f>'Приложение 3'!F188</f>
        <v>200</v>
      </c>
      <c r="F186" s="58">
        <f>'Приложение 3'!G188</f>
        <v>60</v>
      </c>
      <c r="G186" s="58">
        <f>'Приложение 3'!H188</f>
        <v>6.89</v>
      </c>
      <c r="H186" s="58">
        <f t="shared" si="2"/>
        <v>11.483333333333333</v>
      </c>
    </row>
    <row r="187" spans="1:8" ht="24" outlineLevel="5">
      <c r="A187" s="45" t="str">
        <f>'Приложение 3'!A189</f>
        <v>Предоставление субсидий бюджетным, автономным учреждениям и иным некоммерческим организациям</v>
      </c>
      <c r="B187" s="73" t="str">
        <f>'Приложение 3'!C189</f>
        <v>0702</v>
      </c>
      <c r="C187" s="73" t="str">
        <f>'Приложение 3'!D189</f>
        <v>02</v>
      </c>
      <c r="D187" s="73">
        <f>'Приложение 3'!E189</f>
        <v>4</v>
      </c>
      <c r="E187" s="73">
        <f>'Приложение 3'!F189</f>
        <v>600</v>
      </c>
      <c r="F187" s="58">
        <f>'Приложение 3'!G189</f>
        <v>509.61648</v>
      </c>
      <c r="G187" s="58">
        <f>'Приложение 3'!H189</f>
        <v>119.70687</v>
      </c>
      <c r="H187" s="58">
        <f t="shared" si="2"/>
        <v>23.48959947292128</v>
      </c>
    </row>
    <row r="188" spans="1:8" ht="60" outlineLevel="5">
      <c r="A188" s="45" t="str">
        <f>'Приложение 3'!A190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88" s="73" t="str">
        <f>'Приложение 3'!C190</f>
        <v>0702</v>
      </c>
      <c r="C188" s="73" t="str">
        <f>'Приложение 3'!D190</f>
        <v>02</v>
      </c>
      <c r="D188" s="73">
        <f>'Приложение 3'!E190</f>
        <v>4</v>
      </c>
      <c r="E188" s="73">
        <f>'Приложение 3'!F190</f>
        <v>600</v>
      </c>
      <c r="F188" s="58">
        <f>'Приложение 3'!G190</f>
        <v>1052.63158</v>
      </c>
      <c r="G188" s="58">
        <f>'Приложение 3'!H190</f>
        <v>1052.63158</v>
      </c>
      <c r="H188" s="58">
        <f t="shared" si="2"/>
        <v>100</v>
      </c>
    </row>
    <row r="189" spans="1:8" ht="36" hidden="1" outlineLevel="5">
      <c r="A189" s="45" t="str">
        <f>'Приложение 3'!A191</f>
        <v>Муниципальная программа "Развитие физической культуры и спорта в Алексеевском муниципальном районе на 2019-2023 годы"</v>
      </c>
      <c r="B189" s="73" t="str">
        <f>'Приложение 3'!C191</f>
        <v>0702</v>
      </c>
      <c r="C189" s="73" t="str">
        <f>'Приложение 3'!D191</f>
        <v>17</v>
      </c>
      <c r="D189" s="73">
        <f>'Приложение 3'!E191</f>
        <v>0</v>
      </c>
      <c r="E189" s="73"/>
      <c r="F189" s="58">
        <f>'Приложение 3'!G191</f>
        <v>0</v>
      </c>
      <c r="G189" s="58">
        <f>'Приложение 3'!H191</f>
        <v>0</v>
      </c>
      <c r="H189" s="58" t="e">
        <f t="shared" si="2"/>
        <v>#DIV/0!</v>
      </c>
    </row>
    <row r="190" spans="1:8" ht="84" hidden="1" outlineLevel="5">
      <c r="A190" s="45" t="str">
        <f>'Приложение 3'!A192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0" s="73" t="str">
        <f>'Приложение 3'!C192</f>
        <v>0702</v>
      </c>
      <c r="C190" s="73" t="str">
        <f>'Приложение 3'!D192</f>
        <v>17</v>
      </c>
      <c r="D190" s="73">
        <f>'Приложение 3'!E192</f>
        <v>0</v>
      </c>
      <c r="E190" s="73">
        <f>'Приложение 3'!F192</f>
        <v>600</v>
      </c>
      <c r="F190" s="58">
        <f>'Приложение 3'!G192</f>
        <v>0</v>
      </c>
      <c r="G190" s="58">
        <f>'Приложение 3'!H192</f>
        <v>0</v>
      </c>
      <c r="H190" s="58" t="e">
        <f t="shared" si="2"/>
        <v>#DIV/0!</v>
      </c>
    </row>
    <row r="191" spans="1:8" ht="84" hidden="1" outlineLevel="5">
      <c r="A191" s="45" t="str">
        <f>'Приложение 3'!A193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1" s="73" t="str">
        <f>'Приложение 3'!C193</f>
        <v>0702</v>
      </c>
      <c r="C191" s="73" t="str">
        <f>'Приложение 3'!D193</f>
        <v>17</v>
      </c>
      <c r="D191" s="73">
        <f>'Приложение 3'!E193</f>
        <v>0</v>
      </c>
      <c r="E191" s="73">
        <f>'Приложение 3'!F193</f>
        <v>600</v>
      </c>
      <c r="F191" s="58">
        <f>'Приложение 3'!G193</f>
        <v>0</v>
      </c>
      <c r="G191" s="58">
        <f>'Приложение 3'!H193</f>
        <v>0</v>
      </c>
      <c r="H191" s="58" t="e">
        <f t="shared" si="2"/>
        <v>#DIV/0!</v>
      </c>
    </row>
    <row r="192" spans="1:8" ht="96" outlineLevel="5">
      <c r="A192" s="45" t="str">
        <f>'Приложение 3'!A194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92" s="73" t="str">
        <f>'Приложение 3'!C194</f>
        <v>0702</v>
      </c>
      <c r="C192" s="73" t="str">
        <f>'Приложение 3'!D194</f>
        <v>22</v>
      </c>
      <c r="D192" s="73">
        <f>'Приложение 3'!E194</f>
        <v>0</v>
      </c>
      <c r="E192" s="73"/>
      <c r="F192" s="58">
        <f>'Приложение 3'!G194</f>
        <v>1101.8756</v>
      </c>
      <c r="G192" s="58">
        <f>'Приложение 3'!H194</f>
        <v>386.56109000000004</v>
      </c>
      <c r="H192" s="58">
        <f t="shared" si="2"/>
        <v>35.08209910447241</v>
      </c>
    </row>
    <row r="193" spans="1:8" ht="24" outlineLevel="5">
      <c r="A193" s="45" t="str">
        <f>'Приложение 3'!A195</f>
        <v>Закупка товаров, работ и услуг для государственных (муниципальных) нужд</v>
      </c>
      <c r="B193" s="73" t="str">
        <f>'Приложение 3'!C195</f>
        <v>0702</v>
      </c>
      <c r="C193" s="73" t="str">
        <f>'Приложение 3'!D195</f>
        <v>22</v>
      </c>
      <c r="D193" s="73">
        <f>'Приложение 3'!E195</f>
        <v>0</v>
      </c>
      <c r="E193" s="73">
        <f>'Приложение 3'!F195</f>
        <v>200</v>
      </c>
      <c r="F193" s="58">
        <f>'Приложение 3'!G195</f>
        <v>37.74771</v>
      </c>
      <c r="G193" s="58">
        <f>'Приложение 3'!H195</f>
        <v>13.9159</v>
      </c>
      <c r="H193" s="58">
        <f t="shared" si="2"/>
        <v>36.86554760540441</v>
      </c>
    </row>
    <row r="194" spans="1:8" ht="24" outlineLevel="5">
      <c r="A194" s="45" t="str">
        <f>'Приложение 3'!A196</f>
        <v>Предоставление субсидий бюджетным, автономным учреждениям и иным некоммерческим организациям</v>
      </c>
      <c r="B194" s="73" t="str">
        <f>'Приложение 3'!C196</f>
        <v>0702</v>
      </c>
      <c r="C194" s="73" t="str">
        <f>'Приложение 3'!D196</f>
        <v>22</v>
      </c>
      <c r="D194" s="73">
        <f>'Приложение 3'!E196</f>
        <v>0</v>
      </c>
      <c r="E194" s="73">
        <f>'Приложение 3'!F196</f>
        <v>600</v>
      </c>
      <c r="F194" s="58">
        <f>'Приложение 3'!G196</f>
        <v>1064.12789</v>
      </c>
      <c r="G194" s="58">
        <f>'Приложение 3'!H196</f>
        <v>372.64519</v>
      </c>
      <c r="H194" s="58">
        <f t="shared" si="2"/>
        <v>35.018835001120024</v>
      </c>
    </row>
    <row r="195" spans="1:8" ht="36" outlineLevel="5">
      <c r="A195" s="45" t="str">
        <f>'Приложение 3'!A197</f>
        <v>Ведомственная целевая программа "Развитие образования детей на территории Алексеевского муниципального района на 2020-2022 годы"</v>
      </c>
      <c r="B195" s="73" t="str">
        <f>'Приложение 3'!C197</f>
        <v>0702</v>
      </c>
      <c r="C195" s="73" t="str">
        <f>'Приложение 3'!D197</f>
        <v>53</v>
      </c>
      <c r="D195" s="73">
        <f>'Приложение 3'!E197</f>
        <v>0</v>
      </c>
      <c r="E195" s="73"/>
      <c r="F195" s="58">
        <f>'Приложение 3'!G197</f>
        <v>171820.95542999997</v>
      </c>
      <c r="G195" s="58">
        <f>'Приложение 3'!H197</f>
        <v>123904.61554999999</v>
      </c>
      <c r="H195" s="58">
        <f t="shared" si="2"/>
        <v>72.11263331641689</v>
      </c>
    </row>
    <row r="196" spans="1:8" ht="12.75" outlineLevel="5">
      <c r="A196" s="45" t="str">
        <f>'Приложение 3'!A198</f>
        <v>Подпрограмма "Развитие общего образования детей"</v>
      </c>
      <c r="B196" s="73" t="str">
        <f>'Приложение 3'!C198</f>
        <v>0702</v>
      </c>
      <c r="C196" s="73" t="str">
        <f>'Приложение 3'!D198</f>
        <v>53</v>
      </c>
      <c r="D196" s="73">
        <f>'Приложение 3'!E198</f>
        <v>2</v>
      </c>
      <c r="E196" s="73" t="s">
        <v>9</v>
      </c>
      <c r="F196" s="58">
        <f>'Приложение 3'!G198</f>
        <v>171820.95542999997</v>
      </c>
      <c r="G196" s="58">
        <f>'Приложение 3'!H198</f>
        <v>123904.61554999999</v>
      </c>
      <c r="H196" s="58">
        <f t="shared" si="2"/>
        <v>72.11263331641689</v>
      </c>
    </row>
    <row r="197" spans="1:8" ht="12.75" outlineLevel="5">
      <c r="A197" s="45" t="str">
        <f>'Приложение 3'!A199</f>
        <v>За счет средств бюджета муниципального района</v>
      </c>
      <c r="B197" s="73" t="str">
        <f>'Приложение 3'!C199</f>
        <v>0702</v>
      </c>
      <c r="C197" s="73" t="str">
        <f>'Приложение 3'!D199</f>
        <v>53</v>
      </c>
      <c r="D197" s="73">
        <f>'Приложение 3'!E199</f>
        <v>2</v>
      </c>
      <c r="E197" s="73" t="s">
        <v>9</v>
      </c>
      <c r="F197" s="58">
        <f>'Приложение 3'!G199</f>
        <v>23691.800949999997</v>
      </c>
      <c r="G197" s="58">
        <f>'Приложение 3'!H199</f>
        <v>13451.345050000002</v>
      </c>
      <c r="H197" s="58">
        <f t="shared" si="2"/>
        <v>56.77637203853008</v>
      </c>
    </row>
    <row r="198" spans="1:8" ht="48" outlineLevel="5">
      <c r="A198" s="45" t="str">
        <f>'Приложение 3'!A200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8" s="73" t="str">
        <f>'Приложение 3'!C200</f>
        <v>0702</v>
      </c>
      <c r="C198" s="73" t="str">
        <f>'Приложение 3'!D200</f>
        <v>53</v>
      </c>
      <c r="D198" s="73">
        <f>'Приложение 3'!E200</f>
        <v>2</v>
      </c>
      <c r="E198" s="73">
        <f>'Приложение 3'!F200</f>
        <v>100</v>
      </c>
      <c r="F198" s="58">
        <f>'Приложение 3'!G200</f>
        <v>80</v>
      </c>
      <c r="G198" s="58">
        <f>'Приложение 3'!H200</f>
        <v>13.56359</v>
      </c>
      <c r="H198" s="58">
        <f t="shared" si="2"/>
        <v>16.9544875</v>
      </c>
    </row>
    <row r="199" spans="1:8" ht="24" outlineLevel="5">
      <c r="A199" s="45" t="str">
        <f>'Приложение 3'!A201</f>
        <v>Закупка товаров, работ и услуг для государственных (муниципальных) нужд</v>
      </c>
      <c r="B199" s="73" t="str">
        <f>'Приложение 3'!C201</f>
        <v>0702</v>
      </c>
      <c r="C199" s="73" t="str">
        <f>'Приложение 3'!D201</f>
        <v>53</v>
      </c>
      <c r="D199" s="73">
        <f>'Приложение 3'!E201</f>
        <v>2</v>
      </c>
      <c r="E199" s="73">
        <f>'Приложение 3'!F201</f>
        <v>200</v>
      </c>
      <c r="F199" s="58">
        <f>'Приложение 3'!G201</f>
        <v>600</v>
      </c>
      <c r="G199" s="58">
        <f>'Приложение 3'!H201</f>
        <v>170.05318</v>
      </c>
      <c r="H199" s="58">
        <f t="shared" si="2"/>
        <v>28.342196666666663</v>
      </c>
    </row>
    <row r="200" spans="1:8" ht="48" outlineLevel="5">
      <c r="A200" s="45" t="str">
        <f>'Приложение 3'!A202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0" s="73" t="str">
        <f>'Приложение 3'!C202</f>
        <v>0702</v>
      </c>
      <c r="C200" s="73" t="str">
        <f>'Приложение 3'!D202</f>
        <v>53</v>
      </c>
      <c r="D200" s="73">
        <f>'Приложение 3'!E202</f>
        <v>2</v>
      </c>
      <c r="E200" s="73">
        <f>'Приложение 3'!F202</f>
        <v>200</v>
      </c>
      <c r="F200" s="58">
        <f>'Приложение 3'!G202</f>
        <v>24.9</v>
      </c>
      <c r="G200" s="58">
        <f>'Приложение 3'!H202</f>
        <v>12.50189</v>
      </c>
      <c r="H200" s="58">
        <f t="shared" si="2"/>
        <v>50.2083935742972</v>
      </c>
    </row>
    <row r="201" spans="1:8" ht="48" outlineLevel="5">
      <c r="A201" s="45" t="str">
        <f>'Приложение 3'!A202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1" s="73" t="str">
        <f>'Приложение 3'!C202</f>
        <v>0702</v>
      </c>
      <c r="C201" s="73" t="str">
        <f>'Приложение 3'!D202</f>
        <v>53</v>
      </c>
      <c r="D201" s="73">
        <f>'Приложение 3'!E202</f>
        <v>2</v>
      </c>
      <c r="E201" s="73" t="s">
        <v>148</v>
      </c>
      <c r="F201" s="58">
        <f>'Приложение 3'!G202</f>
        <v>24.9</v>
      </c>
      <c r="G201" s="58">
        <f>'Приложение 3'!H202</f>
        <v>12.50189</v>
      </c>
      <c r="H201" s="58">
        <f t="shared" si="2"/>
        <v>50.2083935742972</v>
      </c>
    </row>
    <row r="202" spans="1:8" ht="12.75" outlineLevel="5">
      <c r="A202" s="45" t="str">
        <f>'Приложение 3'!A203</f>
        <v>Иные бюджетные ассигнования</v>
      </c>
      <c r="B202" s="73" t="str">
        <f>'Приложение 3'!C203</f>
        <v>0702</v>
      </c>
      <c r="C202" s="73" t="str">
        <f>'Приложение 3'!D203</f>
        <v>53</v>
      </c>
      <c r="D202" s="73">
        <f>'Приложение 3'!E203</f>
        <v>2</v>
      </c>
      <c r="E202" s="73">
        <f>'Приложение 3'!F203</f>
        <v>800</v>
      </c>
      <c r="F202" s="58">
        <f>'Приложение 3'!G203</f>
        <v>35</v>
      </c>
      <c r="G202" s="58">
        <f>'Приложение 3'!H203</f>
        <v>20.12663</v>
      </c>
      <c r="H202" s="58">
        <f aca="true" t="shared" si="3" ref="H202:H265">SUM(G202/F202)*100</f>
        <v>57.50465714285714</v>
      </c>
    </row>
    <row r="203" spans="1:8" ht="26.25" customHeight="1" outlineLevel="5">
      <c r="A203" s="45" t="str">
        <f>'Приложение 3'!A204</f>
        <v>Предоставление субсидий бюджетным, автономным учреждениям и иным некоммерческим организациям</v>
      </c>
      <c r="B203" s="73" t="str">
        <f>'Приложение 3'!C204</f>
        <v>0702</v>
      </c>
      <c r="C203" s="73" t="str">
        <f>'Приложение 3'!D204</f>
        <v>53</v>
      </c>
      <c r="D203" s="73">
        <f>'Приложение 3'!E204</f>
        <v>2</v>
      </c>
      <c r="E203" s="73">
        <f>'Приложение 3'!F204</f>
        <v>600</v>
      </c>
      <c r="F203" s="58">
        <f>'Приложение 3'!G204</f>
        <v>21006.719999999998</v>
      </c>
      <c r="G203" s="58">
        <f>'Приложение 3'!H204</f>
        <v>12240.74306</v>
      </c>
      <c r="H203" s="58">
        <f t="shared" si="3"/>
        <v>58.27060607272341</v>
      </c>
    </row>
    <row r="204" spans="1:8" ht="26.25" customHeight="1" outlineLevel="5">
      <c r="A204" s="45" t="str">
        <f>'Приложение 3'!A205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4" s="73" t="str">
        <f>'Приложение 3'!C205</f>
        <v>0702</v>
      </c>
      <c r="C204" s="73" t="str">
        <f>'Приложение 3'!D205</f>
        <v>53</v>
      </c>
      <c r="D204" s="73">
        <f>'Приложение 3'!E205</f>
        <v>2</v>
      </c>
      <c r="E204" s="73">
        <f>'Приложение 3'!F205</f>
        <v>600</v>
      </c>
      <c r="F204" s="58">
        <f>'Приложение 3'!G205</f>
        <v>1945.18095</v>
      </c>
      <c r="G204" s="58">
        <f>'Приложение 3'!H205</f>
        <v>994.3567</v>
      </c>
      <c r="H204" s="58">
        <f t="shared" si="3"/>
        <v>51.1189820155292</v>
      </c>
    </row>
    <row r="205" spans="1:8" ht="12.75" outlineLevel="5">
      <c r="A205" s="45" t="str">
        <f>'Приложение 3'!A206</f>
        <v>За счет средств областного бюджета </v>
      </c>
      <c r="B205" s="73" t="str">
        <f>'Приложение 3'!C206</f>
        <v>0702</v>
      </c>
      <c r="C205" s="73" t="str">
        <f>'Приложение 3'!D206</f>
        <v>53</v>
      </c>
      <c r="D205" s="73">
        <f>'Приложение 3'!E206</f>
        <v>2</v>
      </c>
      <c r="E205" s="73" t="s">
        <v>9</v>
      </c>
      <c r="F205" s="58">
        <f>'Приложение 3'!G206</f>
        <v>148129.15447999997</v>
      </c>
      <c r="G205" s="58">
        <f>'Приложение 3'!H206</f>
        <v>110453.27049999998</v>
      </c>
      <c r="H205" s="58">
        <f t="shared" si="3"/>
        <v>74.56551742817994</v>
      </c>
    </row>
    <row r="206" spans="1:8" ht="38.25" customHeight="1" outlineLevel="5">
      <c r="A206" s="45" t="str">
        <f>'Приложение 3'!A207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6" s="73" t="str">
        <f>'Приложение 3'!C207</f>
        <v>0702</v>
      </c>
      <c r="C206" s="73" t="str">
        <f>'Приложение 3'!D207</f>
        <v>53</v>
      </c>
      <c r="D206" s="73">
        <f>'Приложение 3'!E207</f>
        <v>2</v>
      </c>
      <c r="E206" s="73">
        <f>'Приложение 3'!F207</f>
        <v>100</v>
      </c>
      <c r="F206" s="58">
        <f>'Приложение 3'!G207</f>
        <v>4428.9</v>
      </c>
      <c r="G206" s="58">
        <f>'Приложение 3'!H207</f>
        <v>3077.19055</v>
      </c>
      <c r="H206" s="58">
        <f t="shared" si="3"/>
        <v>69.47979295084559</v>
      </c>
    </row>
    <row r="207" spans="1:8" ht="4.5" customHeight="1" hidden="1" outlineLevel="5">
      <c r="A207" s="45" t="str">
        <f>'Приложение 3'!A208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07" s="73" t="str">
        <f>'Приложение 3'!C208</f>
        <v>0702</v>
      </c>
      <c r="C207" s="73" t="str">
        <f>'Приложение 3'!D208</f>
        <v>53</v>
      </c>
      <c r="D207" s="73">
        <f>'Приложение 3'!E208</f>
        <v>2</v>
      </c>
      <c r="E207" s="73">
        <f>'Приложение 3'!F208</f>
        <v>100</v>
      </c>
      <c r="F207" s="58">
        <f>'Приложение 3'!G208</f>
        <v>0</v>
      </c>
      <c r="G207" s="58">
        <f>'Приложение 3'!H208</f>
        <v>0</v>
      </c>
      <c r="H207" s="58" t="e">
        <f t="shared" si="3"/>
        <v>#DIV/0!</v>
      </c>
    </row>
    <row r="208" spans="1:8" ht="36" outlineLevel="5">
      <c r="A208" s="45" t="str">
        <f>'Приложение 3'!A209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08" s="73" t="str">
        <f>'Приложение 3'!C209</f>
        <v>0702</v>
      </c>
      <c r="C208" s="73" t="str">
        <f>'Приложение 3'!D209</f>
        <v>53</v>
      </c>
      <c r="D208" s="73">
        <f>'Приложение 3'!E209</f>
        <v>2</v>
      </c>
      <c r="E208" s="73">
        <f>'Приложение 3'!F209</f>
        <v>100</v>
      </c>
      <c r="F208" s="58">
        <f>'Приложение 3'!G209</f>
        <v>546.8</v>
      </c>
      <c r="G208" s="58">
        <f>'Приложение 3'!H209</f>
        <v>411.42193</v>
      </c>
      <c r="H208" s="58">
        <f t="shared" si="3"/>
        <v>75.24175749817118</v>
      </c>
    </row>
    <row r="209" spans="1:8" ht="30" customHeight="1" outlineLevel="5">
      <c r="A209" s="45" t="str">
        <f>'Приложение 3'!A210</f>
        <v>Закупка товаров, работ и услуг для государственных (муниципальных) нужд</v>
      </c>
      <c r="B209" s="73" t="str">
        <f>'Приложение 3'!C210</f>
        <v>0702</v>
      </c>
      <c r="C209" s="73" t="str">
        <f>'Приложение 3'!D210</f>
        <v>53</v>
      </c>
      <c r="D209" s="73">
        <f>'Приложение 3'!E210</f>
        <v>2</v>
      </c>
      <c r="E209" s="73">
        <f>'Приложение 3'!F210</f>
        <v>200</v>
      </c>
      <c r="F209" s="58">
        <f>'Приложение 3'!G210</f>
        <v>30.383999999999986</v>
      </c>
      <c r="G209" s="58">
        <f>'Приложение 3'!H210</f>
        <v>30.109</v>
      </c>
      <c r="H209" s="58">
        <f t="shared" si="3"/>
        <v>99.0949183780938</v>
      </c>
    </row>
    <row r="210" spans="1:8" ht="17.25" customHeight="1" outlineLevel="5">
      <c r="A210" s="45" t="str">
        <f>'Приложение 3'!A211</f>
        <v>За счет средств областного бюджета на питание</v>
      </c>
      <c r="B210" s="73" t="str">
        <f>'Приложение 3'!C211</f>
        <v>0702</v>
      </c>
      <c r="C210" s="73" t="str">
        <f>'Приложение 3'!D211</f>
        <v>53</v>
      </c>
      <c r="D210" s="73">
        <f>'Приложение 3'!E211</f>
        <v>2</v>
      </c>
      <c r="E210" s="73">
        <f>'Приложение 3'!F211</f>
        <v>200</v>
      </c>
      <c r="F210" s="58">
        <f>'Приложение 3'!G211</f>
        <v>47.6</v>
      </c>
      <c r="G210" s="58">
        <f>'Приложение 3'!H211</f>
        <v>30.10573</v>
      </c>
      <c r="H210" s="58">
        <f t="shared" si="3"/>
        <v>63.24733193277311</v>
      </c>
    </row>
    <row r="211" spans="1:8" ht="24.75" customHeight="1" outlineLevel="5">
      <c r="A211" s="45" t="str">
        <f>'Приложение 3'!A212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11" s="73" t="str">
        <f>'Приложение 3'!C212</f>
        <v>0702</v>
      </c>
      <c r="C211" s="73" t="str">
        <f>'Приложение 3'!D212</f>
        <v>53</v>
      </c>
      <c r="D211" s="73">
        <f>'Приложение 3'!E212</f>
        <v>2</v>
      </c>
      <c r="E211" s="73">
        <f>'Приложение 3'!F212</f>
        <v>200</v>
      </c>
      <c r="F211" s="58">
        <f>'Приложение 3'!G212</f>
        <v>76.2</v>
      </c>
      <c r="G211" s="58">
        <f>'Приложение 3'!H212</f>
        <v>38.36015</v>
      </c>
      <c r="H211" s="58">
        <f t="shared" si="3"/>
        <v>50.34140419947506</v>
      </c>
    </row>
    <row r="212" spans="1:8" ht="60" outlineLevel="5">
      <c r="A212" s="45" t="str">
        <f>'Приложение 3'!A213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2" s="73" t="str">
        <f>'Приложение 3'!C213</f>
        <v>0702</v>
      </c>
      <c r="C212" s="73" t="str">
        <f>'Приложение 3'!D213</f>
        <v>53</v>
      </c>
      <c r="D212" s="73">
        <f>'Приложение 3'!E213</f>
        <v>2</v>
      </c>
      <c r="E212" s="73">
        <f>'Приложение 3'!F213</f>
        <v>600</v>
      </c>
      <c r="F212" s="58">
        <f>'Приложение 3'!G213</f>
        <v>5968.6944300000005</v>
      </c>
      <c r="G212" s="58">
        <f>'Приложение 3'!H213</f>
        <v>3051.02945</v>
      </c>
      <c r="H212" s="58">
        <f t="shared" si="3"/>
        <v>51.117199678791394</v>
      </c>
    </row>
    <row r="213" spans="1:8" ht="24" outlineLevel="5">
      <c r="A213" s="45" t="str">
        <f>'Приложение 3'!A214</f>
        <v>За счет средств областного бюджета на образовательный процесс</v>
      </c>
      <c r="B213" s="73" t="str">
        <f>'Приложение 3'!C214</f>
        <v>0702</v>
      </c>
      <c r="C213" s="73" t="str">
        <f>'Приложение 3'!D214</f>
        <v>53</v>
      </c>
      <c r="D213" s="73">
        <f>'Приложение 3'!E214</f>
        <v>2</v>
      </c>
      <c r="E213" s="73">
        <f>'Приложение 3'!F214</f>
        <v>600</v>
      </c>
      <c r="F213" s="58">
        <f>'Приложение 3'!G214</f>
        <v>120229.81599999999</v>
      </c>
      <c r="G213" s="58">
        <f>'Приложение 3'!H214</f>
        <v>91675.50098</v>
      </c>
      <c r="H213" s="58">
        <f t="shared" si="3"/>
        <v>76.25022147584423</v>
      </c>
    </row>
    <row r="214" spans="1:8" ht="48" hidden="1" outlineLevel="5">
      <c r="A214" s="45" t="str">
        <f>'Приложение 3'!A215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14" s="73" t="str">
        <f>'Приложение 3'!C215</f>
        <v>0702</v>
      </c>
      <c r="C214" s="73" t="str">
        <f>'Приложение 3'!D215</f>
        <v>53</v>
      </c>
      <c r="D214" s="73">
        <f>'Приложение 3'!E215</f>
        <v>2</v>
      </c>
      <c r="E214" s="73">
        <f>'Приложение 3'!F215</f>
        <v>600</v>
      </c>
      <c r="F214" s="58">
        <f>'Приложение 3'!G215</f>
        <v>0</v>
      </c>
      <c r="G214" s="58">
        <f>'Приложение 3'!H215</f>
        <v>0</v>
      </c>
      <c r="H214" s="58" t="e">
        <f t="shared" si="3"/>
        <v>#DIV/0!</v>
      </c>
    </row>
    <row r="215" spans="1:8" ht="36" outlineLevel="5">
      <c r="A215" s="45" t="str">
        <f>'Приложение 3'!A216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5" s="73" t="str">
        <f>'Приложение 3'!C216</f>
        <v>0702</v>
      </c>
      <c r="C215" s="73" t="str">
        <f>'Приложение 3'!D216</f>
        <v>53</v>
      </c>
      <c r="D215" s="73">
        <f>'Приложение 3'!E216</f>
        <v>2</v>
      </c>
      <c r="E215" s="73">
        <f>'Приложение 3'!F216</f>
        <v>600</v>
      </c>
      <c r="F215" s="58">
        <f>'Приложение 3'!G216</f>
        <v>11704.56005</v>
      </c>
      <c r="G215" s="58">
        <f>'Приложение 3'!H216</f>
        <v>9603.53205</v>
      </c>
      <c r="H215" s="58">
        <f t="shared" si="3"/>
        <v>82.04949189867243</v>
      </c>
    </row>
    <row r="216" spans="1:8" ht="12.75" outlineLevel="5">
      <c r="A216" s="45" t="str">
        <f>'Приложение 3'!A217</f>
        <v>За счет средств областного бюджета на питание</v>
      </c>
      <c r="B216" s="73" t="str">
        <f>'Приложение 3'!C217</f>
        <v>0702</v>
      </c>
      <c r="C216" s="73" t="str">
        <f>'Приложение 3'!D217</f>
        <v>53</v>
      </c>
      <c r="D216" s="73">
        <f>'Приложение 3'!E217</f>
        <v>2</v>
      </c>
      <c r="E216" s="73">
        <f>'Приложение 3'!F217</f>
        <v>600</v>
      </c>
      <c r="F216" s="58">
        <f>'Приложение 3'!G217</f>
        <v>4938.4</v>
      </c>
      <c r="G216" s="58">
        <f>'Приложение 3'!H217</f>
        <v>2481.7904</v>
      </c>
      <c r="H216" s="58">
        <f t="shared" si="3"/>
        <v>50.254948971326755</v>
      </c>
    </row>
    <row r="217" spans="1:8" ht="24" outlineLevel="5">
      <c r="A217" s="45" t="str">
        <f>'Приложение 3'!A218</f>
        <v>За счет средств на расходы на осуществление социальных гарантий молодым специалистам</v>
      </c>
      <c r="B217" s="73" t="str">
        <f>'Приложение 3'!C218</f>
        <v>0702</v>
      </c>
      <c r="C217" s="73" t="str">
        <f>'Приложение 3'!D218</f>
        <v>53</v>
      </c>
      <c r="D217" s="73">
        <f>'Приложение 3'!E218</f>
        <v>2</v>
      </c>
      <c r="E217" s="73">
        <f>'Приложение 3'!F218</f>
        <v>600</v>
      </c>
      <c r="F217" s="58">
        <f>'Приложение 3'!G218</f>
        <v>157.8</v>
      </c>
      <c r="G217" s="58">
        <f>'Приложение 3'!H218</f>
        <v>54.23026</v>
      </c>
      <c r="H217" s="58">
        <f t="shared" si="3"/>
        <v>34.366451204055764</v>
      </c>
    </row>
    <row r="218" spans="1:8" ht="14.25" customHeight="1" outlineLevel="5">
      <c r="A218" s="45" t="str">
        <f>'Приложение 3'!A219</f>
        <v>Дополнительное образование детей</v>
      </c>
      <c r="B218" s="73" t="str">
        <f>'Приложение 3'!C219</f>
        <v>0703</v>
      </c>
      <c r="C218" s="73"/>
      <c r="D218" s="73"/>
      <c r="E218" s="73"/>
      <c r="F218" s="58">
        <f>'Приложение 3'!G219</f>
        <v>10300</v>
      </c>
      <c r="G218" s="58">
        <f>'Приложение 3'!H219</f>
        <v>6941.40065</v>
      </c>
      <c r="H218" s="58">
        <f t="shared" si="3"/>
        <v>67.39223932038834</v>
      </c>
    </row>
    <row r="219" spans="1:8" ht="2.25" customHeight="1" hidden="1" outlineLevel="5">
      <c r="A219" s="45" t="str">
        <f>'Приложение 3'!A220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19" s="73" t="str">
        <f>'Приложение 3'!C220</f>
        <v>0703</v>
      </c>
      <c r="C219" s="73" t="str">
        <f>'Приложение 3'!D220</f>
        <v>02</v>
      </c>
      <c r="D219" s="73">
        <f>'Приложение 3'!E220</f>
        <v>0</v>
      </c>
      <c r="E219" s="73"/>
      <c r="F219" s="58">
        <f>'Приложение 3'!G220</f>
        <v>0</v>
      </c>
      <c r="G219" s="58">
        <f>'Приложение 3'!H220</f>
        <v>0</v>
      </c>
      <c r="H219" s="58" t="e">
        <f t="shared" si="3"/>
        <v>#DIV/0!</v>
      </c>
    </row>
    <row r="220" spans="1:8" ht="42" customHeight="1" hidden="1" outlineLevel="5">
      <c r="A220" s="45" t="str">
        <f>'Приложение 3'!A221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20" s="73" t="str">
        <f>'Приложение 3'!C221</f>
        <v>0703</v>
      </c>
      <c r="C220" s="73" t="str">
        <f>'Приложение 3'!D221</f>
        <v>02</v>
      </c>
      <c r="D220" s="73">
        <f>'Приложение 3'!E221</f>
        <v>3</v>
      </c>
      <c r="E220" s="73"/>
      <c r="F220" s="58">
        <f>'Приложение 3'!G221</f>
        <v>0</v>
      </c>
      <c r="G220" s="58">
        <f>'Приложение 3'!H221</f>
        <v>0</v>
      </c>
      <c r="H220" s="58" t="e">
        <f t="shared" si="3"/>
        <v>#DIV/0!</v>
      </c>
    </row>
    <row r="221" spans="1:8" ht="24" hidden="1" outlineLevel="5">
      <c r="A221" s="45" t="str">
        <f>'Приложение 3'!A222</f>
        <v>Предоставление субсидий бюджетным, автономным учреждениям и иным некоммерческим организациям</v>
      </c>
      <c r="B221" s="73" t="str">
        <f>'Приложение 3'!C222</f>
        <v>0703</v>
      </c>
      <c r="C221" s="73" t="str">
        <f>'Приложение 3'!D222</f>
        <v>02</v>
      </c>
      <c r="D221" s="73">
        <f>'Приложение 3'!E222</f>
        <v>3</v>
      </c>
      <c r="E221" s="73">
        <f>'Приложение 3'!F222</f>
        <v>600</v>
      </c>
      <c r="F221" s="58">
        <f>'Приложение 3'!G222</f>
        <v>0</v>
      </c>
      <c r="G221" s="58">
        <f>'Приложение 3'!H222</f>
        <v>0</v>
      </c>
      <c r="H221" s="58" t="e">
        <f t="shared" si="3"/>
        <v>#DIV/0!</v>
      </c>
    </row>
    <row r="222" spans="1:8" ht="37.5" customHeight="1" outlineLevel="5">
      <c r="A222" s="45" t="str">
        <f>'Приложение 3'!A223</f>
        <v>Ведомственная целевая программа "Развитие образования детей на территории Алексеевского муниципального района на 2020-2022 годы"</v>
      </c>
      <c r="B222" s="73" t="str">
        <f>'Приложение 3'!C223</f>
        <v>0703</v>
      </c>
      <c r="C222" s="73" t="str">
        <f>'Приложение 3'!D223</f>
        <v>53</v>
      </c>
      <c r="D222" s="73">
        <f>'Приложение 3'!E223</f>
        <v>0</v>
      </c>
      <c r="E222" s="73"/>
      <c r="F222" s="58">
        <f>'Приложение 3'!G223</f>
        <v>10300</v>
      </c>
      <c r="G222" s="58">
        <f>'Приложение 3'!H223</f>
        <v>6941.40065</v>
      </c>
      <c r="H222" s="58">
        <f t="shared" si="3"/>
        <v>67.39223932038834</v>
      </c>
    </row>
    <row r="223" spans="1:8" ht="15" customHeight="1" outlineLevel="5">
      <c r="A223" s="45" t="str">
        <f>'Приложение 3'!A224</f>
        <v>Подпрограмма "Развитие дополнительного образования детей"</v>
      </c>
      <c r="B223" s="73" t="str">
        <f>'Приложение 3'!C224</f>
        <v>0703</v>
      </c>
      <c r="C223" s="73" t="str">
        <f>'Приложение 3'!D224</f>
        <v>53</v>
      </c>
      <c r="D223" s="73">
        <f>'Приложение 3'!E224</f>
        <v>3</v>
      </c>
      <c r="E223" s="73" t="s">
        <v>9</v>
      </c>
      <c r="F223" s="58">
        <f>'Приложение 3'!G224</f>
        <v>10300</v>
      </c>
      <c r="G223" s="58">
        <f>'Приложение 3'!H224</f>
        <v>6941.40065</v>
      </c>
      <c r="H223" s="58">
        <f t="shared" si="3"/>
        <v>67.39223932038834</v>
      </c>
    </row>
    <row r="224" spans="1:8" ht="24" outlineLevel="5">
      <c r="A224" s="45" t="str">
        <f>'Приложение 3'!A225</f>
        <v>Предоставление субсидий бюджетным, автономным учреждениям и иным некоммерческим организациям (ДШИ)</v>
      </c>
      <c r="B224" s="73" t="str">
        <f>'Приложение 3'!C225</f>
        <v>0703</v>
      </c>
      <c r="C224" s="73" t="str">
        <f>'Приложение 3'!D225</f>
        <v>53</v>
      </c>
      <c r="D224" s="73">
        <f>'Приложение 3'!E225</f>
        <v>3</v>
      </c>
      <c r="E224" s="73">
        <f>'Приложение 3'!F225</f>
        <v>600</v>
      </c>
      <c r="F224" s="58">
        <f>'Приложение 3'!G225</f>
        <v>6000</v>
      </c>
      <c r="G224" s="58">
        <f>'Приложение 3'!H225</f>
        <v>3692.68015</v>
      </c>
      <c r="H224" s="58">
        <f t="shared" si="3"/>
        <v>61.544669166666665</v>
      </c>
    </row>
    <row r="225" spans="1:8" ht="39.75" customHeight="1" outlineLevel="5">
      <c r="A225" s="45" t="str">
        <f>'Приложение 3'!A226</f>
        <v>Предоставление субсидий бюджетным, автономным учреждениям и иным некоммерческим организациям (ДЮСШ)</v>
      </c>
      <c r="B225" s="73" t="str">
        <f>'Приложение 3'!C226</f>
        <v>0703</v>
      </c>
      <c r="C225" s="73" t="str">
        <f>'Приложение 3'!D226</f>
        <v>53</v>
      </c>
      <c r="D225" s="73">
        <f>'Приложение 3'!E226</f>
        <v>3</v>
      </c>
      <c r="E225" s="73">
        <f>'Приложение 3'!F226</f>
        <v>600</v>
      </c>
      <c r="F225" s="58">
        <f>'Приложение 3'!G226</f>
        <v>4300</v>
      </c>
      <c r="G225" s="58">
        <f>'Приложение 3'!H226</f>
        <v>3248.7205</v>
      </c>
      <c r="H225" s="58">
        <f t="shared" si="3"/>
        <v>75.55163953488372</v>
      </c>
    </row>
    <row r="226" spans="1:8" ht="12.75" outlineLevel="5">
      <c r="A226" s="45" t="str">
        <f>'Приложение 3'!A227</f>
        <v>Молодежная политика </v>
      </c>
      <c r="B226" s="73" t="str">
        <f>'Приложение 3'!C227</f>
        <v>0707</v>
      </c>
      <c r="C226" s="73">
        <f>'Приложение 3'!D227</f>
      </c>
      <c r="D226" s="73">
        <f>'Приложение 3'!E227</f>
      </c>
      <c r="E226" s="73"/>
      <c r="F226" s="58">
        <f>'Приложение 3'!G227</f>
        <v>7326.9</v>
      </c>
      <c r="G226" s="58">
        <f>'Приложение 3'!H227</f>
        <v>5155.64546</v>
      </c>
      <c r="H226" s="58">
        <f t="shared" si="3"/>
        <v>70.36598643355308</v>
      </c>
    </row>
    <row r="227" spans="1:8" ht="25.5" customHeight="1" outlineLevel="5">
      <c r="A227" s="45" t="str">
        <f>'Приложение 3'!A228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27" s="73" t="str">
        <f>'Приложение 3'!C228</f>
        <v>0707</v>
      </c>
      <c r="C227" s="73" t="str">
        <f>'Приложение 3'!D228</f>
        <v>07</v>
      </c>
      <c r="D227" s="73">
        <f>'Приложение 3'!E228</f>
        <v>0</v>
      </c>
      <c r="E227" s="73"/>
      <c r="F227" s="58">
        <f>'Приложение 3'!G228</f>
        <v>60</v>
      </c>
      <c r="G227" s="58">
        <f>'Приложение 3'!H228</f>
        <v>31.6</v>
      </c>
      <c r="H227" s="58">
        <f t="shared" si="3"/>
        <v>52.66666666666667</v>
      </c>
    </row>
    <row r="228" spans="1:8" ht="24" outlineLevel="5">
      <c r="A228" s="45" t="str">
        <f>'Приложение 3'!A229</f>
        <v>Подпрограмма "Комплексные меры по противодействию наркомании"</v>
      </c>
      <c r="B228" s="73" t="str">
        <f>'Приложение 3'!C229</f>
        <v>0707</v>
      </c>
      <c r="C228" s="73" t="str">
        <f>'Приложение 3'!D229</f>
        <v>07</v>
      </c>
      <c r="D228" s="73">
        <f>'Приложение 3'!E229</f>
        <v>1</v>
      </c>
      <c r="E228" s="73"/>
      <c r="F228" s="58">
        <f>'Приложение 3'!G229</f>
        <v>20</v>
      </c>
      <c r="G228" s="58">
        <f>'Приложение 3'!H229</f>
        <v>1.6</v>
      </c>
      <c r="H228" s="58">
        <f t="shared" si="3"/>
        <v>8</v>
      </c>
    </row>
    <row r="229" spans="1:8" ht="27" customHeight="1" outlineLevel="5">
      <c r="A229" s="45" t="str">
        <f>'Приложение 3'!A230</f>
        <v>Закупка товаров, работ и услуг для государственных (муниципальных) нужд</v>
      </c>
      <c r="B229" s="73" t="str">
        <f>'Приложение 3'!C230</f>
        <v>0707</v>
      </c>
      <c r="C229" s="73" t="str">
        <f>'Приложение 3'!D230</f>
        <v>07</v>
      </c>
      <c r="D229" s="73">
        <f>'Приложение 3'!E230</f>
        <v>1</v>
      </c>
      <c r="E229" s="73">
        <f>'Приложение 3'!F230</f>
        <v>200</v>
      </c>
      <c r="F229" s="58">
        <f>'Приложение 3'!G230</f>
        <v>20</v>
      </c>
      <c r="G229" s="58">
        <f>'Приложение 3'!H230</f>
        <v>1.6</v>
      </c>
      <c r="H229" s="58">
        <f t="shared" si="3"/>
        <v>8</v>
      </c>
    </row>
    <row r="230" spans="1:8" ht="27.75" customHeight="1" outlineLevel="5">
      <c r="A230" s="45" t="str">
        <f>'Приложение 3'!A231</f>
        <v>Подпрограмма "Реализация мероприятий молодежной политики и социальной адаптации молодежи "</v>
      </c>
      <c r="B230" s="73" t="str">
        <f>'Приложение 3'!C231</f>
        <v>0707</v>
      </c>
      <c r="C230" s="73" t="str">
        <f>'Приложение 3'!D231</f>
        <v>07</v>
      </c>
      <c r="D230" s="73">
        <f>'Приложение 3'!E231</f>
        <v>2</v>
      </c>
      <c r="E230" s="73"/>
      <c r="F230" s="58">
        <f>'Приложение 3'!G231</f>
        <v>30</v>
      </c>
      <c r="G230" s="58">
        <f>'Приложение 3'!H231</f>
        <v>30</v>
      </c>
      <c r="H230" s="58">
        <f t="shared" si="3"/>
        <v>100</v>
      </c>
    </row>
    <row r="231" spans="1:8" ht="24" customHeight="1" outlineLevel="5">
      <c r="A231" s="45" t="str">
        <f>'Приложение 3'!A232</f>
        <v>Закупка товаров, работ и услуг для государственных (муниципальных) нужд</v>
      </c>
      <c r="B231" s="73" t="str">
        <f>'Приложение 3'!C232</f>
        <v>0707</v>
      </c>
      <c r="C231" s="73" t="str">
        <f>'Приложение 3'!D232</f>
        <v>07</v>
      </c>
      <c r="D231" s="73">
        <f>'Приложение 3'!E232</f>
        <v>2</v>
      </c>
      <c r="E231" s="73">
        <f>'Приложение 3'!F232</f>
        <v>200</v>
      </c>
      <c r="F231" s="58">
        <f>'Приложение 3'!G232</f>
        <v>30</v>
      </c>
      <c r="G231" s="58">
        <f>'Приложение 3'!H232</f>
        <v>30</v>
      </c>
      <c r="H231" s="58">
        <f t="shared" si="3"/>
        <v>100</v>
      </c>
    </row>
    <row r="232" spans="1:8" ht="24" outlineLevel="5">
      <c r="A232" s="45" t="str">
        <f>'Приложение 3'!A233</f>
        <v>Подпрограмма " Профилактика безнадзорности, правонарушений и неблагополучия несовершеннолетних"</v>
      </c>
      <c r="B232" s="73" t="str">
        <f>'Приложение 3'!C233</f>
        <v>0707</v>
      </c>
      <c r="C232" s="73" t="str">
        <f>'Приложение 3'!D233</f>
        <v>07</v>
      </c>
      <c r="D232" s="73">
        <f>'Приложение 3'!E233</f>
        <v>3</v>
      </c>
      <c r="E232" s="73"/>
      <c r="F232" s="58">
        <f>'Приложение 3'!G233</f>
        <v>10</v>
      </c>
      <c r="G232" s="58">
        <f>'Приложение 3'!H233</f>
        <v>0</v>
      </c>
      <c r="H232" s="58">
        <f t="shared" si="3"/>
        <v>0</v>
      </c>
    </row>
    <row r="233" spans="1:8" ht="23.25" customHeight="1" outlineLevel="5">
      <c r="A233" s="45" t="str">
        <f>'Приложение 3'!A234</f>
        <v>Закупка товаров, работ и услуг для государственных (муниципальных) нужд</v>
      </c>
      <c r="B233" s="73" t="str">
        <f>'Приложение 3'!C234</f>
        <v>0707</v>
      </c>
      <c r="C233" s="73" t="str">
        <f>'Приложение 3'!D234</f>
        <v>07</v>
      </c>
      <c r="D233" s="73">
        <f>'Приложение 3'!E234</f>
        <v>3</v>
      </c>
      <c r="E233" s="73">
        <f>'Приложение 3'!F234</f>
        <v>200</v>
      </c>
      <c r="F233" s="58">
        <f>'Приложение 3'!G234</f>
        <v>10</v>
      </c>
      <c r="G233" s="58">
        <f>'Приложение 3'!H234</f>
        <v>0</v>
      </c>
      <c r="H233" s="58">
        <f t="shared" si="3"/>
        <v>0</v>
      </c>
    </row>
    <row r="234" spans="1:8" ht="24" hidden="1" outlineLevel="5">
      <c r="A234" s="45" t="str">
        <f>'Приложение 3'!A235</f>
        <v>Закупка товаров, работ и услуг для государственных (муниципальных) нужд</v>
      </c>
      <c r="B234" s="73" t="str">
        <f>'Приложение 3'!C235</f>
        <v>0707</v>
      </c>
      <c r="C234" s="73" t="str">
        <f>'Приложение 3'!D235</f>
        <v>07</v>
      </c>
      <c r="D234" s="73">
        <f>'Приложение 3'!E235</f>
        <v>3</v>
      </c>
      <c r="E234" s="73">
        <f>'Приложение 3'!F235</f>
        <v>200</v>
      </c>
      <c r="F234" s="58">
        <f>'Приложение 3'!G235</f>
        <v>0</v>
      </c>
      <c r="G234" s="58">
        <f>'Приложение 3'!H235</f>
        <v>0</v>
      </c>
      <c r="H234" s="58" t="e">
        <f t="shared" si="3"/>
        <v>#DIV/0!</v>
      </c>
    </row>
    <row r="235" spans="1:8" ht="31.5" customHeight="1" hidden="1" outlineLevel="5">
      <c r="A235" s="45" t="str">
        <f>'Приложение 3'!A236</f>
        <v>Закупка товаров, работ и услуг для государственных (муниципальных) нужд</v>
      </c>
      <c r="B235" s="73" t="str">
        <f>'Приложение 3'!C236</f>
        <v>0707</v>
      </c>
      <c r="C235" s="73" t="str">
        <f>'Приложение 3'!D236</f>
        <v>07</v>
      </c>
      <c r="D235" s="73">
        <f>'Приложение 3'!E236</f>
        <v>3</v>
      </c>
      <c r="E235" s="73">
        <f>'Приложение 3'!F236</f>
        <v>200</v>
      </c>
      <c r="F235" s="58">
        <f>'Приложение 3'!G236</f>
        <v>0</v>
      </c>
      <c r="G235" s="58">
        <f>'Приложение 3'!H236</f>
        <v>0</v>
      </c>
      <c r="H235" s="58" t="e">
        <f t="shared" si="3"/>
        <v>#DIV/0!</v>
      </c>
    </row>
    <row r="236" spans="1:8" ht="39.75" customHeight="1" outlineLevel="5">
      <c r="A236" s="45" t="str">
        <f>'Приложение 3'!A237</f>
        <v>Ведомственная целевая программа "Молодежная политика на территории Алексеевского муниципального района на 2022-2024 годы" (СДЦ)</v>
      </c>
      <c r="B236" s="73" t="str">
        <f>'Приложение 3'!C237</f>
        <v>0707</v>
      </c>
      <c r="C236" s="73" t="str">
        <f>'Приложение 3'!D237</f>
        <v>56</v>
      </c>
      <c r="D236" s="73">
        <f>'Приложение 3'!E237</f>
        <v>0</v>
      </c>
      <c r="E236" s="73"/>
      <c r="F236" s="58">
        <f>'Приложение 3'!G237</f>
        <v>5100</v>
      </c>
      <c r="G236" s="58">
        <f>'Приложение 3'!H237</f>
        <v>3004.77096</v>
      </c>
      <c r="H236" s="58">
        <f t="shared" si="3"/>
        <v>58.917077647058825</v>
      </c>
    </row>
    <row r="237" spans="1:8" ht="29.25" customHeight="1" outlineLevel="5">
      <c r="A237" s="45" t="str">
        <f>'Приложение 3'!A238</f>
        <v>Предоставление субсидий бюджетным, автономным учреждениям и иным некоммерческим организациям</v>
      </c>
      <c r="B237" s="73" t="str">
        <f>'Приложение 3'!C238</f>
        <v>0707</v>
      </c>
      <c r="C237" s="73" t="str">
        <f>'Приложение 3'!D238</f>
        <v>56</v>
      </c>
      <c r="D237" s="73">
        <f>'Приложение 3'!E238</f>
        <v>0</v>
      </c>
      <c r="E237" s="73">
        <f>'Приложение 3'!F238</f>
        <v>600</v>
      </c>
      <c r="F237" s="58">
        <f>'Приложение 3'!G238</f>
        <v>5100</v>
      </c>
      <c r="G237" s="58">
        <f>'Приложение 3'!H238</f>
        <v>3004.77096</v>
      </c>
      <c r="H237" s="58">
        <f t="shared" si="3"/>
        <v>58.917077647058825</v>
      </c>
    </row>
    <row r="238" spans="1:8" ht="20.25" customHeight="1" outlineLevel="5">
      <c r="A238" s="45" t="str">
        <f>'Приложение 3'!A239</f>
        <v>Организация отдыха детей в лагерях дневного пребывания</v>
      </c>
      <c r="B238" s="73" t="str">
        <f>'Приложение 3'!C239</f>
        <v>0707</v>
      </c>
      <c r="C238" s="73" t="str">
        <f>'Приложение 3'!D239</f>
        <v>99</v>
      </c>
      <c r="D238" s="73"/>
      <c r="E238" s="73"/>
      <c r="F238" s="58">
        <f>'Приложение 3'!G239</f>
        <v>2166.9</v>
      </c>
      <c r="G238" s="58">
        <f>'Приложение 3'!H239</f>
        <v>2119.2745</v>
      </c>
      <c r="H238" s="58">
        <f t="shared" si="3"/>
        <v>97.80213669297152</v>
      </c>
    </row>
    <row r="239" spans="1:8" ht="24.75" customHeight="1" outlineLevel="5">
      <c r="A239" s="45" t="str">
        <f>'Приложение 3'!A240</f>
        <v>Непрограммные расходы органов местного самоуправления Алексеевского муниципального района</v>
      </c>
      <c r="B239" s="73" t="str">
        <f>'Приложение 3'!C240</f>
        <v>0707</v>
      </c>
      <c r="C239" s="73" t="str">
        <f>'Приложение 3'!D240</f>
        <v>99</v>
      </c>
      <c r="D239" s="73"/>
      <c r="E239" s="73"/>
      <c r="F239" s="58">
        <f>'Приложение 3'!G240</f>
        <v>2166.9</v>
      </c>
      <c r="G239" s="58">
        <f>'Приложение 3'!H240</f>
        <v>2119.2745</v>
      </c>
      <c r="H239" s="58">
        <f t="shared" si="3"/>
        <v>97.80213669297152</v>
      </c>
    </row>
    <row r="240" spans="1:8" ht="36" outlineLevel="5">
      <c r="A240" s="45" t="str">
        <f>'Приложение 3'!A241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40" s="73" t="str">
        <f>'Приложение 3'!C241</f>
        <v>0707</v>
      </c>
      <c r="C240" s="73" t="str">
        <f>'Приложение 3'!D241</f>
        <v>99</v>
      </c>
      <c r="D240" s="73">
        <f>'Приложение 3'!E241</f>
        <v>0</v>
      </c>
      <c r="E240" s="73">
        <f>'Приложение 3'!F241</f>
        <v>600</v>
      </c>
      <c r="F240" s="58">
        <f>'Приложение 3'!G241</f>
        <v>1950.2</v>
      </c>
      <c r="G240" s="58">
        <f>'Приложение 3'!H241</f>
        <v>1907.337</v>
      </c>
      <c r="H240" s="58">
        <f t="shared" si="3"/>
        <v>97.80212285919393</v>
      </c>
    </row>
    <row r="241" spans="1:8" ht="27.75" customHeight="1" outlineLevel="5">
      <c r="A241" s="45" t="str">
        <f>'Приложение 3'!A242</f>
        <v>Предоставление субсидий бюджетным, автономным учреждениям и иным некоммерческим организациям</v>
      </c>
      <c r="B241" s="73" t="str">
        <f>'Приложение 3'!C242</f>
        <v>0707</v>
      </c>
      <c r="C241" s="73" t="str">
        <f>'Приложение 3'!D242</f>
        <v>99</v>
      </c>
      <c r="D241" s="73">
        <f>'Приложение 3'!E242</f>
        <v>0</v>
      </c>
      <c r="E241" s="73">
        <f>'Приложение 3'!F242</f>
        <v>600</v>
      </c>
      <c r="F241" s="58">
        <f>'Приложение 3'!G242</f>
        <v>216.7</v>
      </c>
      <c r="G241" s="58">
        <f>'Приложение 3'!H242</f>
        <v>211.9375</v>
      </c>
      <c r="H241" s="58">
        <f t="shared" si="3"/>
        <v>97.80226119058607</v>
      </c>
    </row>
    <row r="242" spans="1:8" ht="15.75" customHeight="1" outlineLevel="5">
      <c r="A242" s="45" t="str">
        <f>'Приложение 3'!A243</f>
        <v>Другие вопросы в области образования</v>
      </c>
      <c r="B242" s="73" t="str">
        <f>'Приложение 3'!C243</f>
        <v>0709</v>
      </c>
      <c r="C242" s="73"/>
      <c r="D242" s="73"/>
      <c r="E242" s="73"/>
      <c r="F242" s="58">
        <f>'Приложение 3'!G243</f>
        <v>1295</v>
      </c>
      <c r="G242" s="58">
        <f>'Приложение 3'!H243</f>
        <v>1017.54986</v>
      </c>
      <c r="H242" s="58">
        <f t="shared" si="3"/>
        <v>78.57527876447877</v>
      </c>
    </row>
    <row r="243" spans="1:8" ht="61.5" customHeight="1" hidden="1" outlineLevel="5">
      <c r="A243" s="45" t="str">
        <f>'Приложение 3'!A244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43" s="73" t="str">
        <f>'Приложение 3'!C244</f>
        <v>0709</v>
      </c>
      <c r="C243" s="73" t="str">
        <f>'Приложение 3'!D244</f>
        <v>08</v>
      </c>
      <c r="D243" s="73">
        <f>'Приложение 3'!E244</f>
        <v>0</v>
      </c>
      <c r="E243" s="73"/>
      <c r="F243" s="58">
        <f>'Приложение 3'!G244</f>
        <v>0</v>
      </c>
      <c r="G243" s="58">
        <f>'Приложение 3'!H244</f>
        <v>0</v>
      </c>
      <c r="H243" s="58" t="e">
        <f t="shared" si="3"/>
        <v>#DIV/0!</v>
      </c>
    </row>
    <row r="244" spans="1:8" ht="12.75" hidden="1" outlineLevel="2">
      <c r="A244" s="45" t="str">
        <f>'Приложение 3'!A245</f>
        <v>Социальное обеспечение и иные выплаты населению</v>
      </c>
      <c r="B244" s="73" t="str">
        <f>'Приложение 3'!C245</f>
        <v>0709</v>
      </c>
      <c r="C244" s="73" t="str">
        <f>'Приложение 3'!D245</f>
        <v>08</v>
      </c>
      <c r="D244" s="73">
        <f>'Приложение 3'!E245</f>
        <v>0</v>
      </c>
      <c r="E244" s="73" t="s">
        <v>204</v>
      </c>
      <c r="F244" s="58">
        <f>'Приложение 3'!G245</f>
        <v>0</v>
      </c>
      <c r="G244" s="58">
        <f>'Приложение 3'!H245</f>
        <v>0</v>
      </c>
      <c r="H244" s="58" t="e">
        <f t="shared" si="3"/>
        <v>#DIV/0!</v>
      </c>
    </row>
    <row r="245" spans="1:8" ht="48" outlineLevel="3">
      <c r="A245" s="45" t="str">
        <f>'Приложение 3'!A246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45" s="73" t="str">
        <f>'Приложение 3'!C246</f>
        <v>0709</v>
      </c>
      <c r="C245" s="73" t="str">
        <f>'Приложение 3'!D246</f>
        <v>58</v>
      </c>
      <c r="D245" s="73">
        <f>'Приложение 3'!E246</f>
        <v>0</v>
      </c>
      <c r="E245" s="73"/>
      <c r="F245" s="58">
        <f>'Приложение 3'!G246</f>
        <v>1295</v>
      </c>
      <c r="G245" s="58">
        <f>'Приложение 3'!H246</f>
        <v>1017.54986</v>
      </c>
      <c r="H245" s="58">
        <f t="shared" si="3"/>
        <v>78.57527876447877</v>
      </c>
    </row>
    <row r="246" spans="1:8" ht="48" outlineLevel="3">
      <c r="A246" s="45" t="str">
        <f>'Приложение 3'!A247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6" s="73" t="str">
        <f>'Приложение 3'!C247</f>
        <v>0709</v>
      </c>
      <c r="C246" s="73" t="str">
        <f>'Приложение 3'!D247</f>
        <v>58</v>
      </c>
      <c r="D246" s="73">
        <f>'Приложение 3'!E247</f>
        <v>0</v>
      </c>
      <c r="E246" s="73">
        <f>'Приложение 3'!F247</f>
        <v>100</v>
      </c>
      <c r="F246" s="58">
        <f>'Приложение 3'!G247</f>
        <v>1240.2</v>
      </c>
      <c r="G246" s="58">
        <f>'Приложение 3'!H247</f>
        <v>1017.54986</v>
      </c>
      <c r="H246" s="58">
        <f t="shared" si="3"/>
        <v>82.04723915497499</v>
      </c>
    </row>
    <row r="247" spans="1:8" ht="14.25" customHeight="1" outlineLevel="3">
      <c r="A247" s="45" t="str">
        <f>'Приложение 3'!A248</f>
        <v>Закупка товаров, работ и услуг для государственных (муниципальных) нужд</v>
      </c>
      <c r="B247" s="73" t="str">
        <f>'Приложение 3'!C248</f>
        <v>0709</v>
      </c>
      <c r="C247" s="73" t="str">
        <f>'Приложение 3'!D248</f>
        <v>58</v>
      </c>
      <c r="D247" s="73">
        <f>'Приложение 3'!E248</f>
        <v>0</v>
      </c>
      <c r="E247" s="73">
        <f>'Приложение 3'!F248</f>
        <v>200</v>
      </c>
      <c r="F247" s="58">
        <f>'Приложение 3'!G248</f>
        <v>54.8</v>
      </c>
      <c r="G247" s="58">
        <f>'Приложение 3'!H248</f>
        <v>0</v>
      </c>
      <c r="H247" s="58">
        <f t="shared" si="3"/>
        <v>0</v>
      </c>
    </row>
    <row r="248" spans="1:8" ht="12.75" hidden="1" outlineLevel="3">
      <c r="A248" s="45" t="str">
        <f>'Приложение 3'!A249</f>
        <v>Иные бюджетные ассигнования</v>
      </c>
      <c r="B248" s="73" t="str">
        <f>'Приложение 3'!C249</f>
        <v>0709</v>
      </c>
      <c r="C248" s="73" t="str">
        <f>'Приложение 3'!D249</f>
        <v>58</v>
      </c>
      <c r="D248" s="73">
        <f>'Приложение 3'!E249</f>
        <v>0</v>
      </c>
      <c r="E248" s="73">
        <f>'Приложение 3'!F249</f>
        <v>800</v>
      </c>
      <c r="F248" s="58">
        <f>'Приложение 3'!G249</f>
        <v>0</v>
      </c>
      <c r="G248" s="58">
        <f>'Приложение 3'!H249</f>
        <v>0</v>
      </c>
      <c r="H248" s="58" t="e">
        <f t="shared" si="3"/>
        <v>#DIV/0!</v>
      </c>
    </row>
    <row r="249" spans="1:8" ht="12.75" outlineLevel="3">
      <c r="A249" s="45" t="str">
        <f>'Приложение 3'!A250</f>
        <v>Культура, кинематография </v>
      </c>
      <c r="B249" s="73" t="str">
        <f>'Приложение 3'!C250</f>
        <v>0800</v>
      </c>
      <c r="C249" s="73"/>
      <c r="D249" s="73"/>
      <c r="E249" s="73"/>
      <c r="F249" s="58">
        <f>'Приложение 3'!G250</f>
        <v>12431.9</v>
      </c>
      <c r="G249" s="58">
        <f>'Приложение 3'!H250</f>
        <v>8769.388260000002</v>
      </c>
      <c r="H249" s="58">
        <f t="shared" si="3"/>
        <v>70.53940475711678</v>
      </c>
    </row>
    <row r="250" spans="1:8" ht="12" customHeight="1" outlineLevel="3">
      <c r="A250" s="45" t="str">
        <f>'Приложение 3'!A251</f>
        <v>Культура</v>
      </c>
      <c r="B250" s="73" t="str">
        <f>'Приложение 3'!C251</f>
        <v>0801</v>
      </c>
      <c r="C250" s="73"/>
      <c r="D250" s="73"/>
      <c r="E250" s="73"/>
      <c r="F250" s="58">
        <f>'Приложение 3'!G251</f>
        <v>11513.9</v>
      </c>
      <c r="G250" s="58">
        <f>'Приложение 3'!H251</f>
        <v>8203.60452</v>
      </c>
      <c r="H250" s="58">
        <f t="shared" si="3"/>
        <v>71.24957242984567</v>
      </c>
    </row>
    <row r="251" spans="1:8" ht="24" hidden="1" outlineLevel="3">
      <c r="A251" s="45" t="str">
        <f>'Приложение 3'!A252</f>
        <v>Муниципальная программа "Развитие культуры и искусства в Алексеевском муниципальном районе на 2021-2025 годы"</v>
      </c>
      <c r="B251" s="73" t="str">
        <f>'Приложение 3'!C252</f>
        <v>0801</v>
      </c>
      <c r="C251" s="73" t="str">
        <f>'Приложение 3'!D252</f>
        <v>06</v>
      </c>
      <c r="D251" s="73">
        <f>'Приложение 3'!E252</f>
        <v>0</v>
      </c>
      <c r="E251" s="73"/>
      <c r="F251" s="58">
        <f>'Приложение 3'!G252</f>
        <v>0</v>
      </c>
      <c r="G251" s="58">
        <f>'Приложение 3'!H252</f>
        <v>0</v>
      </c>
      <c r="H251" s="58" t="e">
        <f t="shared" si="3"/>
        <v>#DIV/0!</v>
      </c>
    </row>
    <row r="252" spans="1:8" ht="24" hidden="1" outlineLevel="3">
      <c r="A252" s="45" t="str">
        <f>'Приложение 3'!A253</f>
        <v>Предоставление субсидий бюджетным, автономным учреждениям и иным некоммерческим организациям</v>
      </c>
      <c r="B252" s="73" t="str">
        <f>'Приложение 3'!C253</f>
        <v>0801</v>
      </c>
      <c r="C252" s="73" t="str">
        <f>'Приложение 3'!D253</f>
        <v>06</v>
      </c>
      <c r="D252" s="73">
        <f>'Приложение 3'!E253</f>
        <v>0</v>
      </c>
      <c r="E252" s="73">
        <f>'Приложение 3'!F253</f>
        <v>600</v>
      </c>
      <c r="F252" s="58">
        <f>'Приложение 3'!G253</f>
        <v>0</v>
      </c>
      <c r="G252" s="58">
        <f>'Приложение 3'!H253</f>
        <v>0</v>
      </c>
      <c r="H252" s="58" t="e">
        <f t="shared" si="3"/>
        <v>#DIV/0!</v>
      </c>
    </row>
    <row r="253" spans="1:8" ht="120" hidden="1" outlineLevel="3">
      <c r="A253" s="45" t="str">
        <f>'Приложение 3'!A254</f>
        <v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v>
      </c>
      <c r="B253" s="73" t="str">
        <f>'Приложение 3'!C254</f>
        <v>0801</v>
      </c>
      <c r="C253" s="73" t="str">
        <f>'Приложение 3'!D254</f>
        <v>06</v>
      </c>
      <c r="D253" s="73">
        <f>'Приложение 3'!E254</f>
        <v>0</v>
      </c>
      <c r="E253" s="73">
        <f>'Приложение 3'!F254</f>
        <v>600</v>
      </c>
      <c r="F253" s="58">
        <f>'Приложение 3'!G254</f>
        <v>0</v>
      </c>
      <c r="G253" s="58">
        <f>'Приложение 3'!H254</f>
        <v>0</v>
      </c>
      <c r="H253" s="58" t="e">
        <f t="shared" si="3"/>
        <v>#DIV/0!</v>
      </c>
    </row>
    <row r="254" spans="1:8" ht="38.25" customHeight="1" outlineLevel="3">
      <c r="A254" s="45" t="str">
        <f>'Приложение 3'!A255</f>
        <v>Муниципальная программа "Развитие народных художественных промыслов Алексеевского муниципального района на 2019-2023 годы"</v>
      </c>
      <c r="B254" s="73" t="str">
        <f>'Приложение 3'!C255</f>
        <v>0801</v>
      </c>
      <c r="C254" s="73" t="str">
        <f>'Приложение 3'!D255</f>
        <v>12</v>
      </c>
      <c r="D254" s="73">
        <f>'Приложение 3'!E255</f>
        <v>0</v>
      </c>
      <c r="E254" s="73"/>
      <c r="F254" s="58">
        <f>'Приложение 3'!G255</f>
        <v>20</v>
      </c>
      <c r="G254" s="58">
        <f>'Приложение 3'!H255</f>
        <v>6.6</v>
      </c>
      <c r="H254" s="58">
        <f t="shared" si="3"/>
        <v>32.99999999999999</v>
      </c>
    </row>
    <row r="255" spans="1:8" ht="26.25" customHeight="1" outlineLevel="3">
      <c r="A255" s="45" t="str">
        <f>'Приложение 3'!A256</f>
        <v>Предоставление субсидий бюджетным, автономным учреждениям и иным некоммерческим организациям</v>
      </c>
      <c r="B255" s="73" t="str">
        <f>'Приложение 3'!C256</f>
        <v>0801</v>
      </c>
      <c r="C255" s="73" t="str">
        <f>'Приложение 3'!D256</f>
        <v>12</v>
      </c>
      <c r="D255" s="73">
        <f>'Приложение 3'!E256</f>
        <v>0</v>
      </c>
      <c r="E255" s="73">
        <f>'Приложение 3'!F256</f>
        <v>600</v>
      </c>
      <c r="F255" s="58">
        <f>'Приложение 3'!G256</f>
        <v>20</v>
      </c>
      <c r="G255" s="58">
        <f>'Приложение 3'!H256</f>
        <v>6.6</v>
      </c>
      <c r="H255" s="58">
        <f t="shared" si="3"/>
        <v>32.99999999999999</v>
      </c>
    </row>
    <row r="256" spans="1:8" ht="36" outlineLevel="3">
      <c r="A256" s="45" t="str">
        <f>'Приложение 3'!A257</f>
        <v>Муниципальная программа "О поддержке деятельности казачьих обществ Алексеевского муниципального района на 2019-2023 годы"</v>
      </c>
      <c r="B256" s="73" t="str">
        <f>'Приложение 3'!C257</f>
        <v>0801</v>
      </c>
      <c r="C256" s="73" t="str">
        <f>'Приложение 3'!D257</f>
        <v>13</v>
      </c>
      <c r="D256" s="73">
        <f>'Приложение 3'!E257</f>
        <v>0</v>
      </c>
      <c r="E256" s="73"/>
      <c r="F256" s="58">
        <f>'Приложение 3'!G257</f>
        <v>40</v>
      </c>
      <c r="G256" s="58">
        <f>'Приложение 3'!H257</f>
        <v>0</v>
      </c>
      <c r="H256" s="58">
        <f t="shared" si="3"/>
        <v>0</v>
      </c>
    </row>
    <row r="257" spans="1:8" ht="24" outlineLevel="3">
      <c r="A257" s="45" t="str">
        <f>'Приложение 3'!A258</f>
        <v>Предоставление субсидий бюджетным, автономным учреждениям и иным некоммерческим организациям</v>
      </c>
      <c r="B257" s="73" t="str">
        <f>'Приложение 3'!C258</f>
        <v>0801</v>
      </c>
      <c r="C257" s="73" t="str">
        <f>'Приложение 3'!D258</f>
        <v>13</v>
      </c>
      <c r="D257" s="73">
        <f>'Приложение 3'!E258</f>
        <v>0</v>
      </c>
      <c r="E257" s="73">
        <f>'Приложение 3'!F258</f>
        <v>600</v>
      </c>
      <c r="F257" s="58">
        <f>'Приложение 3'!G258</f>
        <v>40</v>
      </c>
      <c r="G257" s="58">
        <f>'Приложение 3'!H258</f>
        <v>0</v>
      </c>
      <c r="H257" s="58">
        <f t="shared" si="3"/>
        <v>0</v>
      </c>
    </row>
    <row r="258" spans="1:8" ht="24" outlineLevel="3">
      <c r="A258" s="45" t="str">
        <f>'Приложение 3'!A259</f>
        <v>Непрограммные расходы органов местного самоуправления Алексеевского муниципального района</v>
      </c>
      <c r="B258" s="73" t="str">
        <f>'Приложение 3'!C259</f>
        <v>0801</v>
      </c>
      <c r="C258" s="73" t="str">
        <f>'Приложение 3'!D259</f>
        <v>99</v>
      </c>
      <c r="D258" s="73">
        <f>'Приложение 3'!E259</f>
        <v>0</v>
      </c>
      <c r="E258" s="73"/>
      <c r="F258" s="58">
        <f>'Приложение 3'!G259</f>
        <v>6.9</v>
      </c>
      <c r="G258" s="58">
        <f>'Приложение 3'!H259</f>
        <v>6.9</v>
      </c>
      <c r="H258" s="58">
        <f t="shared" si="3"/>
        <v>100</v>
      </c>
    </row>
    <row r="259" spans="1:8" ht="24" outlineLevel="3">
      <c r="A259" s="45" t="str">
        <f>'Приложение 3'!A260</f>
        <v>Закупка товаров, работ и услуг для государственных (муниципальных) нужд</v>
      </c>
      <c r="B259" s="73" t="str">
        <f>'Приложение 3'!C260</f>
        <v>0801</v>
      </c>
      <c r="C259" s="73" t="str">
        <f>'Приложение 3'!D260</f>
        <v>99</v>
      </c>
      <c r="D259" s="73">
        <f>'Приложение 3'!E260</f>
        <v>0</v>
      </c>
      <c r="E259" s="73">
        <f>'Приложение 3'!F260</f>
        <v>200</v>
      </c>
      <c r="F259" s="58">
        <f>'Приложение 3'!G260</f>
        <v>6.9</v>
      </c>
      <c r="G259" s="58">
        <f>'Приложение 3'!H260</f>
        <v>6.9</v>
      </c>
      <c r="H259" s="58">
        <f t="shared" si="3"/>
        <v>100</v>
      </c>
    </row>
    <row r="260" spans="1:8" ht="36.75" customHeight="1" outlineLevel="1">
      <c r="A260" s="45" t="str">
        <f>'Приложение 3'!A261</f>
        <v>Ведомственная целевая программа "Развитие культуры и искусства в Алексеевском муниципальном районе на 2022-2024 годы"</v>
      </c>
      <c r="B260" s="73" t="str">
        <f>'Приложение 3'!C261</f>
        <v>0800</v>
      </c>
      <c r="C260" s="73" t="str">
        <f>'Приложение 3'!D261</f>
        <v>59</v>
      </c>
      <c r="D260" s="73">
        <f>'Приложение 3'!E261</f>
        <v>0</v>
      </c>
      <c r="E260" s="73"/>
      <c r="F260" s="58">
        <f>'Приложение 3'!G261</f>
        <v>12365</v>
      </c>
      <c r="G260" s="58">
        <f>'Приложение 3'!H261</f>
        <v>8755.88826</v>
      </c>
      <c r="H260" s="58">
        <f t="shared" si="3"/>
        <v>70.811874322685</v>
      </c>
    </row>
    <row r="261" spans="1:8" ht="16.5" customHeight="1" outlineLevel="3">
      <c r="A261" s="45" t="str">
        <f>'Приложение 3'!A262</f>
        <v>Дворцы и дома культуры, другие учреждения культуры</v>
      </c>
      <c r="B261" s="73" t="str">
        <f>'Приложение 3'!C262</f>
        <v>0801</v>
      </c>
      <c r="C261" s="73" t="str">
        <f>'Приложение 3'!D262</f>
        <v>59</v>
      </c>
      <c r="D261" s="73">
        <f>'Приложение 3'!E262</f>
        <v>0</v>
      </c>
      <c r="E261" s="73"/>
      <c r="F261" s="58">
        <f>'Приложение 3'!G262</f>
        <v>8497</v>
      </c>
      <c r="G261" s="58">
        <f>'Приложение 3'!H262</f>
        <v>6308.01565</v>
      </c>
      <c r="H261" s="58">
        <f t="shared" si="3"/>
        <v>74.23815052371425</v>
      </c>
    </row>
    <row r="262" spans="1:8" ht="24" customHeight="1" outlineLevel="3">
      <c r="A262" s="45" t="str">
        <f>'Приложение 3'!A263</f>
        <v>Предоставление субсидий бюджетным, автономным учреждениям и иным некоммерческим организациям</v>
      </c>
      <c r="B262" s="73" t="str">
        <f>'Приложение 3'!C263</f>
        <v>0801</v>
      </c>
      <c r="C262" s="73" t="str">
        <f>'Приложение 3'!D263</f>
        <v>59</v>
      </c>
      <c r="D262" s="73">
        <f>'Приложение 3'!E263</f>
        <v>0</v>
      </c>
      <c r="E262" s="73">
        <f>'Приложение 3'!F263</f>
        <v>600</v>
      </c>
      <c r="F262" s="58">
        <f>'Приложение 3'!G263</f>
        <v>8497</v>
      </c>
      <c r="G262" s="58">
        <f>'Приложение 3'!H263</f>
        <v>6308.01565</v>
      </c>
      <c r="H262" s="58">
        <f t="shared" si="3"/>
        <v>74.23815052371425</v>
      </c>
    </row>
    <row r="263" spans="1:8" ht="14.25" customHeight="1" outlineLevel="3">
      <c r="A263" s="45" t="str">
        <f>'Приложение 3'!A264</f>
        <v>Музей</v>
      </c>
      <c r="B263" s="73" t="str">
        <f>'Приложение 3'!C264</f>
        <v>0801</v>
      </c>
      <c r="C263" s="73" t="str">
        <f>'Приложение 3'!D264</f>
        <v>59</v>
      </c>
      <c r="D263" s="73">
        <f>'Приложение 3'!E264</f>
        <v>0</v>
      </c>
      <c r="E263" s="73"/>
      <c r="F263" s="58">
        <f>'Приложение 3'!G264</f>
        <v>1593</v>
      </c>
      <c r="G263" s="58">
        <f>'Приложение 3'!H264</f>
        <v>1086.07813</v>
      </c>
      <c r="H263" s="58">
        <f t="shared" si="3"/>
        <v>68.17816258631514</v>
      </c>
    </row>
    <row r="264" spans="1:8" ht="31.5" customHeight="1" outlineLevel="3">
      <c r="A264" s="45" t="str">
        <f>'Приложение 3'!A265</f>
        <v>Предоставление субсидий бюджетным, автономным учреждениям и иным некоммерческим организациям</v>
      </c>
      <c r="B264" s="73" t="str">
        <f>'Приложение 3'!C265</f>
        <v>0801</v>
      </c>
      <c r="C264" s="73" t="str">
        <f>'Приложение 3'!D265</f>
        <v>59</v>
      </c>
      <c r="D264" s="73">
        <f>'Приложение 3'!E265</f>
        <v>0</v>
      </c>
      <c r="E264" s="73">
        <f>'Приложение 3'!F265</f>
        <v>600</v>
      </c>
      <c r="F264" s="58">
        <f>'Приложение 3'!G265</f>
        <v>1593</v>
      </c>
      <c r="G264" s="58">
        <f>'Приложение 3'!H265</f>
        <v>1086.07813</v>
      </c>
      <c r="H264" s="58">
        <f t="shared" si="3"/>
        <v>68.17816258631514</v>
      </c>
    </row>
    <row r="265" spans="1:8" ht="16.5" customHeight="1" outlineLevel="3">
      <c r="A265" s="45" t="str">
        <f>'Приложение 3'!A266</f>
        <v>Библиотеки</v>
      </c>
      <c r="B265" s="73" t="str">
        <f>'Приложение 3'!C266</f>
        <v>0801</v>
      </c>
      <c r="C265" s="73" t="str">
        <f>'Приложение 3'!D266</f>
        <v>59</v>
      </c>
      <c r="D265" s="73">
        <f>'Приложение 3'!E266</f>
        <v>0</v>
      </c>
      <c r="E265" s="73"/>
      <c r="F265" s="58">
        <f>'Приложение 3'!G266</f>
        <v>1357</v>
      </c>
      <c r="G265" s="58">
        <f>'Приложение 3'!H266</f>
        <v>796.01074</v>
      </c>
      <c r="H265" s="58">
        <f t="shared" si="3"/>
        <v>58.65959764185704</v>
      </c>
    </row>
    <row r="266" spans="1:8" ht="27" customHeight="1" outlineLevel="1">
      <c r="A266" s="45" t="str">
        <f>'Приложение 3'!A267</f>
        <v>Предоставление субсидий бюджетным, автономным учреждениям и иным некоммерческим организациям</v>
      </c>
      <c r="B266" s="73" t="str">
        <f>'Приложение 3'!C267</f>
        <v>0801</v>
      </c>
      <c r="C266" s="73" t="str">
        <f>'Приложение 3'!D267</f>
        <v>59</v>
      </c>
      <c r="D266" s="73">
        <f>'Приложение 3'!E267</f>
        <v>0</v>
      </c>
      <c r="E266" s="73">
        <f>'Приложение 3'!F267</f>
        <v>600</v>
      </c>
      <c r="F266" s="58">
        <f>'Приложение 3'!G267</f>
        <v>1357</v>
      </c>
      <c r="G266" s="58">
        <f>'Приложение 3'!H267</f>
        <v>796.01074</v>
      </c>
      <c r="H266" s="58">
        <f aca="true" t="shared" si="4" ref="H266:H329">SUM(G266/F266)*100</f>
        <v>58.65959764185704</v>
      </c>
    </row>
    <row r="267" spans="1:8" ht="12" customHeight="1" outlineLevel="3">
      <c r="A267" s="45" t="str">
        <f>'Приложение 3'!A268</f>
        <v>Кинематография</v>
      </c>
      <c r="B267" s="73" t="str">
        <f>'Приложение 3'!C268</f>
        <v>0802</v>
      </c>
      <c r="C267" s="73" t="str">
        <f>'Приложение 3'!D268</f>
        <v>59</v>
      </c>
      <c r="D267" s="73">
        <f>'Приложение 3'!E268</f>
        <v>0</v>
      </c>
      <c r="E267" s="73"/>
      <c r="F267" s="58">
        <f>'Приложение 3'!G268</f>
        <v>918</v>
      </c>
      <c r="G267" s="58">
        <f>'Приложение 3'!H268</f>
        <v>565.78374</v>
      </c>
      <c r="H267" s="58">
        <f t="shared" si="4"/>
        <v>61.632215686274506</v>
      </c>
    </row>
    <row r="268" spans="1:8" ht="26.25" customHeight="1" outlineLevel="3">
      <c r="A268" s="45" t="str">
        <f>'Приложение 3'!A269</f>
        <v>Предоставление субсидий бюджетным, автономным учреждениям и иным некоммерческим организациям</v>
      </c>
      <c r="B268" s="73" t="str">
        <f>'Приложение 3'!C269</f>
        <v>0802</v>
      </c>
      <c r="C268" s="73" t="str">
        <f>'Приложение 3'!D269</f>
        <v>59</v>
      </c>
      <c r="D268" s="73">
        <f>'Приложение 3'!E269</f>
        <v>0</v>
      </c>
      <c r="E268" s="73">
        <f>'Приложение 3'!F269</f>
        <v>600</v>
      </c>
      <c r="F268" s="58">
        <f>'Приложение 3'!G269</f>
        <v>918</v>
      </c>
      <c r="G268" s="58">
        <f>'Приложение 3'!H269</f>
        <v>565.78374</v>
      </c>
      <c r="H268" s="58">
        <f t="shared" si="4"/>
        <v>61.632215686274506</v>
      </c>
    </row>
    <row r="269" spans="1:8" ht="12.75" hidden="1" outlineLevel="3">
      <c r="A269" s="45" t="str">
        <f>'Приложение 3'!A270</f>
        <v>Другие вопросы в области культуры, кинематографии </v>
      </c>
      <c r="B269" s="73" t="str">
        <f>'Приложение 3'!C270</f>
        <v>0804</v>
      </c>
      <c r="C269" s="73" t="str">
        <f>'Приложение 3'!D270</f>
        <v>59</v>
      </c>
      <c r="D269" s="73">
        <f>'Приложение 3'!E270</f>
        <v>0</v>
      </c>
      <c r="E269" s="73"/>
      <c r="F269" s="58">
        <f>'Приложение 3'!G270</f>
        <v>0</v>
      </c>
      <c r="G269" s="58">
        <f>'Приложение 3'!H270</f>
        <v>0</v>
      </c>
      <c r="H269" s="58" t="e">
        <f t="shared" si="4"/>
        <v>#DIV/0!</v>
      </c>
    </row>
    <row r="270" spans="1:8" ht="24" hidden="1" outlineLevel="3">
      <c r="A270" s="45" t="str">
        <f>'Приложение 3'!A271</f>
        <v>Предоставление субсидий бюджетным, автономным учреждениям и иным некоммерческим организациям</v>
      </c>
      <c r="B270" s="73" t="str">
        <f>'Приложение 3'!C271</f>
        <v>0804</v>
      </c>
      <c r="C270" s="73" t="str">
        <f>'Приложение 3'!D271</f>
        <v>59</v>
      </c>
      <c r="D270" s="73">
        <f>'Приложение 3'!E271</f>
        <v>0</v>
      </c>
      <c r="E270" s="73">
        <f>'Приложение 3'!F271</f>
        <v>600</v>
      </c>
      <c r="F270" s="58">
        <f>'Приложение 3'!G271</f>
        <v>0</v>
      </c>
      <c r="G270" s="58">
        <f>'Приложение 3'!H271</f>
        <v>0</v>
      </c>
      <c r="H270" s="58" t="e">
        <f t="shared" si="4"/>
        <v>#DIV/0!</v>
      </c>
    </row>
    <row r="271" spans="1:8" ht="40.5" customHeight="1" hidden="1" outlineLevel="3">
      <c r="A271" s="45" t="str">
        <f>'Приложение 3'!A272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71" s="73" t="str">
        <f>'Приложение 3'!C272</f>
        <v>0804</v>
      </c>
      <c r="C271" s="73" t="str">
        <f>'Приложение 3'!D272</f>
        <v>10</v>
      </c>
      <c r="D271" s="73">
        <f>'Приложение 3'!E272</f>
        <v>0</v>
      </c>
      <c r="E271" s="73"/>
      <c r="F271" s="73">
        <f>'Приложение 3'!G272</f>
        <v>0</v>
      </c>
      <c r="G271" s="73">
        <f>'Приложение 3'!H272</f>
        <v>0</v>
      </c>
      <c r="H271" s="58" t="e">
        <f t="shared" si="4"/>
        <v>#DIV/0!</v>
      </c>
    </row>
    <row r="272" spans="1:8" ht="36" hidden="1" outlineLevel="3">
      <c r="A272" s="45" t="str">
        <f>'Приложение 3'!A273</f>
        <v>Межбюджетные трансферты за счет средств субсидии на благоустройство и ремонт памятников, обелисков и воинских захоронений</v>
      </c>
      <c r="B272" s="73" t="str">
        <f>'Приложение 3'!C273</f>
        <v>0804</v>
      </c>
      <c r="C272" s="73" t="str">
        <f>'Приложение 3'!D273</f>
        <v>10</v>
      </c>
      <c r="D272" s="73">
        <f>'Приложение 3'!E273</f>
        <v>0</v>
      </c>
      <c r="E272" s="73">
        <f>'Приложение 3'!F273</f>
        <v>500</v>
      </c>
      <c r="F272" s="73">
        <f>'Приложение 3'!G273</f>
        <v>0</v>
      </c>
      <c r="G272" s="73">
        <f>'Приложение 3'!H273</f>
        <v>0</v>
      </c>
      <c r="H272" s="58" t="e">
        <f t="shared" si="4"/>
        <v>#DIV/0!</v>
      </c>
    </row>
    <row r="273" spans="1:8" ht="12.75" hidden="1" outlineLevel="3">
      <c r="A273" s="45" t="str">
        <f>'Приложение 3'!A274</f>
        <v>Здравоохранение</v>
      </c>
      <c r="B273" s="73" t="str">
        <f>'Приложение 3'!C274</f>
        <v>0900</v>
      </c>
      <c r="C273" s="73"/>
      <c r="D273" s="73"/>
      <c r="E273" s="73"/>
      <c r="F273" s="58">
        <f>'Приложение 3'!G274</f>
        <v>0</v>
      </c>
      <c r="G273" s="58">
        <f>'Приложение 3'!H274</f>
        <v>0</v>
      </c>
      <c r="H273" s="58" t="e">
        <f t="shared" si="4"/>
        <v>#DIV/0!</v>
      </c>
    </row>
    <row r="274" spans="1:8" ht="12.75" hidden="1" outlineLevel="3">
      <c r="A274" s="45" t="str">
        <f>'Приложение 3'!A275</f>
        <v>Амбулаторная помощь</v>
      </c>
      <c r="B274" s="73" t="str">
        <f>'Приложение 3'!C275</f>
        <v>0902</v>
      </c>
      <c r="C274" s="73"/>
      <c r="D274" s="73"/>
      <c r="E274" s="73"/>
      <c r="F274" s="58">
        <f>'Приложение 3'!G275</f>
        <v>0</v>
      </c>
      <c r="G274" s="58">
        <f>'Приложение 3'!H275</f>
        <v>0</v>
      </c>
      <c r="H274" s="58" t="e">
        <f t="shared" si="4"/>
        <v>#DIV/0!</v>
      </c>
    </row>
    <row r="275" spans="1:8" ht="36" hidden="1" outlineLevel="3">
      <c r="A275" s="45" t="str">
        <f>'Приложение 3'!A276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75" s="73" t="str">
        <f>'Приложение 3'!C276</f>
        <v>0902</v>
      </c>
      <c r="C275" s="73" t="str">
        <f>'Приложение 3'!D276</f>
        <v>02</v>
      </c>
      <c r="D275" s="73">
        <f>'Приложение 3'!E276</f>
        <v>0</v>
      </c>
      <c r="E275" s="73"/>
      <c r="F275" s="58">
        <f>'Приложение 3'!G276</f>
        <v>0</v>
      </c>
      <c r="G275" s="58">
        <f>'Приложение 3'!H276</f>
        <v>0</v>
      </c>
      <c r="H275" s="58" t="e">
        <f t="shared" si="4"/>
        <v>#DIV/0!</v>
      </c>
    </row>
    <row r="276" spans="1:8" ht="36" hidden="1">
      <c r="A276" s="45" t="str">
        <f>'Приложение 3'!A277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76" s="73" t="str">
        <f>'Приложение 3'!C277</f>
        <v>0902</v>
      </c>
      <c r="C276" s="73" t="str">
        <f>'Приложение 3'!D277</f>
        <v>02</v>
      </c>
      <c r="D276" s="73">
        <f>'Приложение 3'!E277</f>
        <v>3</v>
      </c>
      <c r="E276" s="73"/>
      <c r="F276" s="58">
        <f>'Приложение 3'!G277</f>
        <v>0</v>
      </c>
      <c r="G276" s="58">
        <f>'Приложение 3'!H277</f>
        <v>0</v>
      </c>
      <c r="H276" s="58" t="e">
        <f t="shared" si="4"/>
        <v>#DIV/0!</v>
      </c>
    </row>
    <row r="277" spans="1:8" s="15" customFormat="1" ht="24" hidden="1" outlineLevel="2">
      <c r="A277" s="45" t="str">
        <f>'Приложение 3'!A278</f>
        <v>Капитальные вложения в объекты государственной (муниципальной) собственности</v>
      </c>
      <c r="B277" s="73" t="str">
        <f>'Приложение 3'!C278</f>
        <v>0902</v>
      </c>
      <c r="C277" s="73" t="str">
        <f>'Приложение 3'!D278</f>
        <v>02</v>
      </c>
      <c r="D277" s="73">
        <f>'Приложение 3'!E278</f>
        <v>3</v>
      </c>
      <c r="E277" s="73">
        <f>'Приложение 3'!F278</f>
        <v>400</v>
      </c>
      <c r="F277" s="58">
        <f>'Приложение 3'!G278</f>
        <v>0</v>
      </c>
      <c r="G277" s="58">
        <f>'Приложение 3'!H278</f>
        <v>0</v>
      </c>
      <c r="H277" s="58" t="e">
        <f t="shared" si="4"/>
        <v>#DIV/0!</v>
      </c>
    </row>
    <row r="278" spans="1:8" s="15" customFormat="1" ht="15" customHeight="1" outlineLevel="2">
      <c r="A278" s="45" t="str">
        <f>'Приложение 3'!A279</f>
        <v>Социальная политика</v>
      </c>
      <c r="B278" s="73" t="str">
        <f>'Приложение 3'!C279</f>
        <v>1000</v>
      </c>
      <c r="C278" s="73"/>
      <c r="D278" s="73"/>
      <c r="E278" s="73"/>
      <c r="F278" s="58">
        <f>'Приложение 3'!G279</f>
        <v>26879.071560000004</v>
      </c>
      <c r="G278" s="58">
        <f>'Приложение 3'!H279</f>
        <v>18857.64199</v>
      </c>
      <c r="H278" s="58">
        <f t="shared" si="4"/>
        <v>70.15734136465835</v>
      </c>
    </row>
    <row r="279" spans="1:8" s="15" customFormat="1" ht="15.75" customHeight="1" outlineLevel="2">
      <c r="A279" s="45" t="str">
        <f>'Приложение 3'!A280</f>
        <v>Доплаты к пенсии государственных служащих субъектов Российской Федерации и муниципальных служащих</v>
      </c>
      <c r="B279" s="73" t="str">
        <f>'Приложение 3'!C280</f>
        <v>1001</v>
      </c>
      <c r="C279" s="73"/>
      <c r="D279" s="73"/>
      <c r="E279" s="73"/>
      <c r="F279" s="58">
        <f>'Приложение 3'!G280</f>
        <v>4000</v>
      </c>
      <c r="G279" s="58">
        <f>'Приложение 3'!H280</f>
        <v>2902.94874</v>
      </c>
      <c r="H279" s="58">
        <f t="shared" si="4"/>
        <v>72.5737185</v>
      </c>
    </row>
    <row r="280" spans="1:8" ht="15" customHeight="1" outlineLevel="3">
      <c r="A280" s="45" t="str">
        <f>'Приложение 3'!A281</f>
        <v>Непрограммные расходы органов местного самоуправления Алексеевского муниципального района</v>
      </c>
      <c r="B280" s="73" t="str">
        <f>'Приложение 3'!C281</f>
        <v>1001</v>
      </c>
      <c r="C280" s="73" t="str">
        <f>'Приложение 3'!D281</f>
        <v>99</v>
      </c>
      <c r="D280" s="73">
        <f>'Приложение 3'!E281</f>
        <v>0</v>
      </c>
      <c r="E280" s="73"/>
      <c r="F280" s="58">
        <f>'Приложение 3'!G281</f>
        <v>4000</v>
      </c>
      <c r="G280" s="58">
        <f>'Приложение 3'!H281</f>
        <v>2902.94874</v>
      </c>
      <c r="H280" s="58">
        <f t="shared" si="4"/>
        <v>72.5737185</v>
      </c>
    </row>
    <row r="281" spans="1:8" s="15" customFormat="1" ht="12.75" outlineLevel="2">
      <c r="A281" s="45" t="str">
        <f>'Приложение 3'!A282</f>
        <v>Социальное обеспечение и иные выплаты населению</v>
      </c>
      <c r="B281" s="73" t="str">
        <f>'Приложение 3'!C282</f>
        <v>1001</v>
      </c>
      <c r="C281" s="73" t="str">
        <f>'Приложение 3'!D282</f>
        <v>99</v>
      </c>
      <c r="D281" s="73">
        <f>'Приложение 3'!E282</f>
        <v>0</v>
      </c>
      <c r="E281" s="73">
        <f>'Приложение 3'!F282</f>
        <v>300</v>
      </c>
      <c r="F281" s="58">
        <f>'Приложение 3'!G282</f>
        <v>4000</v>
      </c>
      <c r="G281" s="58">
        <f>'Приложение 3'!H282</f>
        <v>2902.94874</v>
      </c>
      <c r="H281" s="58">
        <f t="shared" si="4"/>
        <v>72.5737185</v>
      </c>
    </row>
    <row r="282" spans="1:8" s="15" customFormat="1" ht="14.25" customHeight="1" outlineLevel="2">
      <c r="A282" s="45" t="str">
        <f>'Приложение 3'!A283</f>
        <v>Социальное обеспечение населения</v>
      </c>
      <c r="B282" s="73" t="str">
        <f>'Приложение 3'!C283</f>
        <v>1003</v>
      </c>
      <c r="C282" s="73"/>
      <c r="D282" s="73"/>
      <c r="E282" s="73"/>
      <c r="F282" s="58">
        <f>'Приложение 3'!G283</f>
        <v>14634.105000000001</v>
      </c>
      <c r="G282" s="58">
        <f>'Приложение 3'!H283</f>
        <v>9951.795559999999</v>
      </c>
      <c r="H282" s="58">
        <f t="shared" si="4"/>
        <v>68.00412843832949</v>
      </c>
    </row>
    <row r="283" spans="1:8" s="15" customFormat="1" ht="75.75" customHeight="1" outlineLevel="2">
      <c r="A283" s="45" t="str">
        <f>'Приложение 3'!A284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83" s="73" t="str">
        <f>'Приложение 3'!C284</f>
        <v>1003</v>
      </c>
      <c r="C283" s="73" t="str">
        <f>'Приложение 3'!D284</f>
        <v>14</v>
      </c>
      <c r="D283" s="73">
        <f>'Приложение 3'!E284</f>
        <v>0</v>
      </c>
      <c r="E283" s="73"/>
      <c r="F283" s="58">
        <f>'Приложение 3'!G284</f>
        <v>800</v>
      </c>
      <c r="G283" s="58">
        <f>'Приложение 3'!H284</f>
        <v>618.649</v>
      </c>
      <c r="H283" s="58">
        <f t="shared" si="4"/>
        <v>77.331125</v>
      </c>
    </row>
    <row r="284" spans="1:8" ht="12.75" outlineLevel="3">
      <c r="A284" s="45" t="str">
        <f>'Приложение 3'!A285</f>
        <v>Социальное обеспечение и иные выплаты населению</v>
      </c>
      <c r="B284" s="73" t="str">
        <f>'Приложение 3'!C285</f>
        <v>1003</v>
      </c>
      <c r="C284" s="73" t="str">
        <f>'Приложение 3'!D285</f>
        <v>14</v>
      </c>
      <c r="D284" s="73">
        <f>'Приложение 3'!E285</f>
        <v>0</v>
      </c>
      <c r="E284" s="73">
        <f>'Приложение 3'!F285</f>
        <v>300</v>
      </c>
      <c r="F284" s="58">
        <f>'Приложение 3'!G285</f>
        <v>800</v>
      </c>
      <c r="G284" s="58">
        <f>'Приложение 3'!H285</f>
        <v>618.649</v>
      </c>
      <c r="H284" s="58">
        <f t="shared" si="4"/>
        <v>77.331125</v>
      </c>
    </row>
    <row r="285" spans="1:8" ht="14.25" customHeight="1" outlineLevel="1">
      <c r="A285" s="45" t="str">
        <f>'Приложение 3'!A286</f>
        <v>Непрограммные расходы органов местного самоуправления Алексеевского муниципального района</v>
      </c>
      <c r="B285" s="73" t="str">
        <f>'Приложение 3'!C286</f>
        <v>1003</v>
      </c>
      <c r="C285" s="73" t="str">
        <f>'Приложение 3'!D286</f>
        <v>99</v>
      </c>
      <c r="D285" s="73">
        <f>'Приложение 3'!E286</f>
        <v>0</v>
      </c>
      <c r="E285" s="73"/>
      <c r="F285" s="58">
        <f>'Приложение 3'!G286</f>
        <v>13834.105000000001</v>
      </c>
      <c r="G285" s="58">
        <f>'Приложение 3'!H286</f>
        <v>9333.14656</v>
      </c>
      <c r="H285" s="58">
        <f t="shared" si="4"/>
        <v>67.46476595341728</v>
      </c>
    </row>
    <row r="286" spans="1:8" ht="14.25" customHeight="1" outlineLevel="1">
      <c r="A286" s="45" t="str">
        <f>'Приложение 3'!A287</f>
        <v>Резервный фонд Администрации Волгоградской области</v>
      </c>
      <c r="B286" s="73" t="str">
        <f>'Приложение 3'!C287</f>
        <v>1003</v>
      </c>
      <c r="C286" s="73" t="str">
        <f>'Приложение 3'!D287</f>
        <v>99</v>
      </c>
      <c r="D286" s="73">
        <f>'Приложение 3'!E287</f>
        <v>0</v>
      </c>
      <c r="E286" s="73"/>
      <c r="F286" s="58">
        <f>'Приложение 3'!G287</f>
        <v>1018</v>
      </c>
      <c r="G286" s="58">
        <f>'Приложение 3'!H287</f>
        <v>1000</v>
      </c>
      <c r="H286" s="58">
        <f t="shared" si="4"/>
        <v>98.23182711198429</v>
      </c>
    </row>
    <row r="287" spans="1:8" ht="11.25" customHeight="1" outlineLevel="1">
      <c r="A287" s="45" t="str">
        <f>'Приложение 3'!A288</f>
        <v>Социальное обеспечение и иные выплаты населению</v>
      </c>
      <c r="B287" s="73" t="str">
        <f>'Приложение 3'!C288</f>
        <v>1003</v>
      </c>
      <c r="C287" s="73" t="str">
        <f>'Приложение 3'!D288</f>
        <v>99</v>
      </c>
      <c r="D287" s="73">
        <f>'Приложение 3'!E288</f>
        <v>0</v>
      </c>
      <c r="E287" s="73">
        <f>'Приложение 3'!F288</f>
        <v>300</v>
      </c>
      <c r="F287" s="58">
        <f>'Приложение 3'!G288</f>
        <v>1018</v>
      </c>
      <c r="G287" s="58">
        <f>'Приложение 3'!H288</f>
        <v>1000</v>
      </c>
      <c r="H287" s="58">
        <f t="shared" si="4"/>
        <v>98.23182711198429</v>
      </c>
    </row>
    <row r="288" spans="1:8" ht="0.75" customHeight="1" hidden="1" outlineLevel="1">
      <c r="A288" s="45" t="str">
        <f>'Приложение 3'!A289</f>
        <v>Закупка товаров, работ и услуг для государственных (муниципальных) нужд</v>
      </c>
      <c r="B288" s="73" t="str">
        <f>'Приложение 3'!C289</f>
        <v>1003</v>
      </c>
      <c r="C288" s="73" t="str">
        <f>'Приложение 3'!D289</f>
        <v>99</v>
      </c>
      <c r="D288" s="73">
        <f>'Приложение 3'!E289</f>
        <v>0</v>
      </c>
      <c r="E288" s="73">
        <f>'Приложение 3'!F289</f>
        <v>200</v>
      </c>
      <c r="F288" s="58">
        <f>'Приложение 3'!G289</f>
        <v>0</v>
      </c>
      <c r="G288" s="58">
        <f>'Приложение 3'!H289</f>
        <v>0</v>
      </c>
      <c r="H288" s="58" t="e">
        <f t="shared" si="4"/>
        <v>#DIV/0!</v>
      </c>
    </row>
    <row r="289" spans="1:8" ht="77.25" customHeight="1" outlineLevel="1">
      <c r="A289" s="45" t="str">
        <f>'Приложение 3'!A290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89" s="73" t="str">
        <f>'Приложение 3'!C290</f>
        <v>1003</v>
      </c>
      <c r="C289" s="73" t="str">
        <f>'Приложение 3'!D290</f>
        <v>99</v>
      </c>
      <c r="D289" s="73">
        <f>'Приложение 3'!E290</f>
        <v>0</v>
      </c>
      <c r="E289" s="73"/>
      <c r="F289" s="58">
        <f>'Приложение 3'!G290</f>
        <v>8625.005000000001</v>
      </c>
      <c r="G289" s="58">
        <f>'Приложение 3'!H290</f>
        <v>5995.41928</v>
      </c>
      <c r="H289" s="58">
        <f t="shared" si="4"/>
        <v>69.51206729735229</v>
      </c>
    </row>
    <row r="290" spans="1:8" ht="13.5" customHeight="1" outlineLevel="2">
      <c r="A290" s="45" t="str">
        <f>'Приложение 3'!A291</f>
        <v>Социальное обеспечение и иные выплаты населению</v>
      </c>
      <c r="B290" s="73" t="str">
        <f>'Приложение 3'!C291</f>
        <v>1003</v>
      </c>
      <c r="C290" s="73" t="str">
        <f>'Приложение 3'!D291</f>
        <v>99</v>
      </c>
      <c r="D290" s="73">
        <f>'Приложение 3'!E291</f>
        <v>0</v>
      </c>
      <c r="E290" s="73">
        <f>'Приложение 3'!F291</f>
        <v>300</v>
      </c>
      <c r="F290" s="58">
        <f>'Приложение 3'!G291</f>
        <v>8539.609</v>
      </c>
      <c r="G290" s="58">
        <f>'Приложение 3'!H291</f>
        <v>5936.89764</v>
      </c>
      <c r="H290" s="58">
        <f t="shared" si="4"/>
        <v>69.52189075635664</v>
      </c>
    </row>
    <row r="291" spans="1:8" ht="24.75" customHeight="1" outlineLevel="3">
      <c r="A291" s="45" t="str">
        <f>'Приложение 3'!A292</f>
        <v>Закупка товаров, работ и услуг для государственных (муниципальных) нужд</v>
      </c>
      <c r="B291" s="73" t="str">
        <f>'Приложение 3'!C292</f>
        <v>1003</v>
      </c>
      <c r="C291" s="73" t="str">
        <f>'Приложение 3'!D292</f>
        <v>99</v>
      </c>
      <c r="D291" s="73">
        <f>'Приложение 3'!E292</f>
        <v>0</v>
      </c>
      <c r="E291" s="73">
        <f>'Приложение 3'!F292</f>
        <v>200</v>
      </c>
      <c r="F291" s="58">
        <f>'Приложение 3'!G292</f>
        <v>85.396</v>
      </c>
      <c r="G291" s="58">
        <f>'Приложение 3'!H292</f>
        <v>58.52164</v>
      </c>
      <c r="H291" s="58">
        <f t="shared" si="4"/>
        <v>68.52972036160944</v>
      </c>
    </row>
    <row r="292" spans="1:8" ht="73.5" customHeight="1">
      <c r="A292" s="45" t="str">
        <f>'Приложение 3'!A293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92" s="73" t="str">
        <f>'Приложение 3'!C293</f>
        <v>1003</v>
      </c>
      <c r="C292" s="73" t="str">
        <f>'Приложение 3'!D293</f>
        <v>99</v>
      </c>
      <c r="D292" s="73">
        <f>'Приложение 3'!E293</f>
        <v>0</v>
      </c>
      <c r="E292" s="73">
        <f>'Приложение 3'!F293</f>
        <v>300</v>
      </c>
      <c r="F292" s="58">
        <f>'Приложение 3'!G293</f>
        <v>751.9</v>
      </c>
      <c r="G292" s="58">
        <f>'Приложение 3'!H293</f>
        <v>471.01361</v>
      </c>
      <c r="H292" s="58">
        <f t="shared" si="4"/>
        <v>62.643118765793325</v>
      </c>
    </row>
    <row r="293" spans="1:8" ht="72" outlineLevel="1">
      <c r="A293" s="45" t="str">
        <f>'Приложение 3'!A294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93" s="73" t="str">
        <f>'Приложение 3'!C294</f>
        <v>1003</v>
      </c>
      <c r="C293" s="73" t="str">
        <f>'Приложение 3'!D294</f>
        <v>99</v>
      </c>
      <c r="D293" s="73">
        <f>'Приложение 3'!E294</f>
        <v>0</v>
      </c>
      <c r="E293" s="73">
        <f>'Приложение 3'!F294</f>
        <v>300</v>
      </c>
      <c r="F293" s="58">
        <f>'Приложение 3'!G294</f>
        <v>55.2</v>
      </c>
      <c r="G293" s="58">
        <f>'Приложение 3'!H294</f>
        <v>25.23179</v>
      </c>
      <c r="H293" s="58">
        <f t="shared" si="4"/>
        <v>45.70976449275362</v>
      </c>
    </row>
    <row r="294" spans="1:8" ht="90" customHeight="1" outlineLevel="1">
      <c r="A294" s="45" t="str">
        <f>'Приложение 3'!A295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94" s="73" t="str">
        <f>'Приложение 3'!C295</f>
        <v>1003</v>
      </c>
      <c r="C294" s="73" t="str">
        <f>'Приложение 3'!D295</f>
        <v>99</v>
      </c>
      <c r="D294" s="73">
        <f>'Приложение 3'!E295</f>
        <v>0</v>
      </c>
      <c r="E294" s="73">
        <f>'Приложение 3'!F295</f>
        <v>300</v>
      </c>
      <c r="F294" s="58">
        <f>'Приложение 3'!G295</f>
        <v>3384</v>
      </c>
      <c r="G294" s="58">
        <f>'Приложение 3'!H295</f>
        <v>1841.48188</v>
      </c>
      <c r="H294" s="58">
        <f t="shared" si="4"/>
        <v>54.41731323877068</v>
      </c>
    </row>
    <row r="295" spans="1:8" ht="12.75" outlineLevel="1">
      <c r="A295" s="45" t="str">
        <f>'Приложение 3'!A296</f>
        <v>Охрана семьи и детства</v>
      </c>
      <c r="B295" s="73" t="str">
        <f>'Приложение 3'!C296</f>
        <v>1004</v>
      </c>
      <c r="C295" s="73"/>
      <c r="D295" s="73"/>
      <c r="E295" s="73"/>
      <c r="F295" s="58">
        <f>'Приложение 3'!G296</f>
        <v>7245.571559999999</v>
      </c>
      <c r="G295" s="58">
        <f>'Приложение 3'!H296</f>
        <v>5290.7996299999995</v>
      </c>
      <c r="H295" s="58">
        <f t="shared" si="4"/>
        <v>73.02114934877547</v>
      </c>
    </row>
    <row r="296" spans="1:8" ht="27" customHeight="1" hidden="1" outlineLevel="1">
      <c r="A296" s="45" t="str">
        <f>'Приложение 3'!A297</f>
        <v>Муниципальная программа "Молодой семье – доступное жилье на территории Алексеевского муниципального района на 2019-2020 годы"</v>
      </c>
      <c r="B296" s="73" t="str">
        <f>'Приложение 3'!C297</f>
        <v>1004</v>
      </c>
      <c r="C296" s="73" t="str">
        <f>'Приложение 3'!D297</f>
        <v>11</v>
      </c>
      <c r="D296" s="73">
        <f>'Приложение 3'!E297</f>
        <v>0</v>
      </c>
      <c r="E296" s="73"/>
      <c r="F296" s="58">
        <f>'Приложение 3'!G297</f>
        <v>0</v>
      </c>
      <c r="G296" s="58">
        <f>'Приложение 3'!H297</f>
        <v>0</v>
      </c>
      <c r="H296" s="58" t="e">
        <f t="shared" si="4"/>
        <v>#DIV/0!</v>
      </c>
    </row>
    <row r="297" spans="1:8" ht="21.75" customHeight="1" hidden="1" outlineLevel="5">
      <c r="A297" s="45" t="str">
        <f>'Приложение 3'!A298</f>
        <v>Социальное обеспечение и иные выплаты населению</v>
      </c>
      <c r="B297" s="73" t="str">
        <f>'Приложение 3'!C298</f>
        <v>1004</v>
      </c>
      <c r="C297" s="73" t="str">
        <f>'Приложение 3'!D298</f>
        <v>11</v>
      </c>
      <c r="D297" s="73">
        <f>'Приложение 3'!E298</f>
        <v>0</v>
      </c>
      <c r="E297" s="73">
        <f>'Приложение 3'!F298</f>
        <v>300</v>
      </c>
      <c r="F297" s="58">
        <f>'Приложение 3'!G298</f>
        <v>0</v>
      </c>
      <c r="G297" s="58">
        <f>'Приложение 3'!H298</f>
        <v>0</v>
      </c>
      <c r="H297" s="58" t="e">
        <f t="shared" si="4"/>
        <v>#DIV/0!</v>
      </c>
    </row>
    <row r="298" spans="1:8" ht="16.5" customHeight="1" outlineLevel="5">
      <c r="A298" s="45" t="str">
        <f>'Приложение 3'!A299</f>
        <v>Непрограммные расходы органов местного самоуправления Алексеевского муниципального района</v>
      </c>
      <c r="B298" s="73" t="str">
        <f>'Приложение 3'!C299</f>
        <v>1004</v>
      </c>
      <c r="C298" s="73" t="str">
        <f>'Приложение 3'!D299</f>
        <v>99</v>
      </c>
      <c r="D298" s="73">
        <f>'Приложение 3'!E299</f>
        <v>0</v>
      </c>
      <c r="E298" s="73"/>
      <c r="F298" s="58">
        <f>'Приложение 3'!G299</f>
        <v>7245.571559999999</v>
      </c>
      <c r="G298" s="58">
        <f>'Приложение 3'!H299</f>
        <v>5290.7996299999995</v>
      </c>
      <c r="H298" s="58">
        <f t="shared" si="4"/>
        <v>73.02114934877547</v>
      </c>
    </row>
    <row r="299" spans="1:8" ht="27" customHeight="1" outlineLevel="2">
      <c r="A299" s="45" t="str">
        <f>'Приложение 3'!A300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299" s="73" t="str">
        <f>'Приложение 3'!C300</f>
        <v>1004</v>
      </c>
      <c r="C299" s="73" t="str">
        <f>'Приложение 3'!D300</f>
        <v>99</v>
      </c>
      <c r="D299" s="73">
        <f>'Приложение 3'!E300</f>
        <v>0</v>
      </c>
      <c r="E299" s="73"/>
      <c r="F299" s="58">
        <f>'Приложение 3'!G300</f>
        <v>693.9</v>
      </c>
      <c r="G299" s="58">
        <f>'Приложение 3'!H300</f>
        <v>224.79962999999998</v>
      </c>
      <c r="H299" s="58">
        <f t="shared" si="4"/>
        <v>32.39654561175962</v>
      </c>
    </row>
    <row r="300" spans="1:8" ht="14.25" customHeight="1" outlineLevel="3">
      <c r="A300" s="45" t="str">
        <f>'Приложение 3'!A301</f>
        <v>Социальное обеспечение и иные выплаты населению</v>
      </c>
      <c r="B300" s="73" t="str">
        <f>'Приложение 3'!C301</f>
        <v>1004</v>
      </c>
      <c r="C300" s="73" t="str">
        <f>'Приложение 3'!D301</f>
        <v>99</v>
      </c>
      <c r="D300" s="73">
        <f>'Приложение 3'!E301</f>
        <v>0</v>
      </c>
      <c r="E300" s="73">
        <f>'Приложение 3'!F301</f>
        <v>300</v>
      </c>
      <c r="F300" s="58">
        <f>'Приложение 3'!G301</f>
        <v>687.03</v>
      </c>
      <c r="G300" s="58">
        <f>'Приложение 3'!H301</f>
        <v>222.61924</v>
      </c>
      <c r="H300" s="58">
        <f t="shared" si="4"/>
        <v>32.40313232318822</v>
      </c>
    </row>
    <row r="301" spans="1:8" ht="24" outlineLevel="2">
      <c r="A301" s="45" t="str">
        <f>'Приложение 3'!A302</f>
        <v>Закупка товаров, работ и услуг для государственных (муниципальных) нужд</v>
      </c>
      <c r="B301" s="73" t="str">
        <f>'Приложение 3'!C302</f>
        <v>1004</v>
      </c>
      <c r="C301" s="73" t="str">
        <f>'Приложение 3'!D302</f>
        <v>99</v>
      </c>
      <c r="D301" s="73">
        <f>'Приложение 3'!E302</f>
        <v>0</v>
      </c>
      <c r="E301" s="73">
        <f>'Приложение 3'!F302</f>
        <v>200</v>
      </c>
      <c r="F301" s="58">
        <f>'Приложение 3'!G302</f>
        <v>6.87</v>
      </c>
      <c r="G301" s="58">
        <f>'Приложение 3'!H302</f>
        <v>2.18039</v>
      </c>
      <c r="H301" s="58">
        <f t="shared" si="4"/>
        <v>31.737845705967977</v>
      </c>
    </row>
    <row r="302" spans="1:8" ht="75.75" customHeight="1" outlineLevel="3">
      <c r="A302" s="45" t="str">
        <f>'Приложение 3'!A303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02" s="73" t="str">
        <f>'Приложение 3'!C303</f>
        <v>1004</v>
      </c>
      <c r="C302" s="73" t="str">
        <f>'Приложение 3'!D303</f>
        <v>99</v>
      </c>
      <c r="D302" s="73">
        <f>'Приложение 3'!E303</f>
        <v>0</v>
      </c>
      <c r="E302" s="73"/>
      <c r="F302" s="58">
        <f>'Приложение 3'!G303</f>
        <v>6525.3</v>
      </c>
      <c r="G302" s="58">
        <f>'Приложение 3'!H303</f>
        <v>5066</v>
      </c>
      <c r="H302" s="58">
        <f t="shared" si="4"/>
        <v>77.63627725928309</v>
      </c>
    </row>
    <row r="303" spans="1:8" ht="15" customHeight="1" outlineLevel="3">
      <c r="A303" s="45" t="str">
        <f>'Приложение 3'!A304</f>
        <v>на выплату пособий по опеке и попечительству</v>
      </c>
      <c r="B303" s="73" t="str">
        <f>'Приложение 3'!C304</f>
        <v>1004</v>
      </c>
      <c r="C303" s="73" t="str">
        <f>'Приложение 3'!D304</f>
        <v>99</v>
      </c>
      <c r="D303" s="73">
        <f>'Приложение 3'!E304</f>
        <v>0</v>
      </c>
      <c r="E303" s="73">
        <f>'Приложение 3'!F304</f>
        <v>300</v>
      </c>
      <c r="F303" s="58">
        <f>'Приложение 3'!G304</f>
        <v>5480</v>
      </c>
      <c r="G303" s="58">
        <f>'Приложение 3'!H304</f>
        <v>4036.1</v>
      </c>
      <c r="H303" s="58">
        <f t="shared" si="4"/>
        <v>73.6514598540146</v>
      </c>
    </row>
    <row r="304" spans="1:8" ht="27" customHeight="1" outlineLevel="3">
      <c r="A304" s="45" t="str">
        <f>'Приложение 3'!A305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04" s="73" t="str">
        <f>'Приложение 3'!C305</f>
        <v>1004</v>
      </c>
      <c r="C304" s="73" t="str">
        <f>'Приложение 3'!D305</f>
        <v>99</v>
      </c>
      <c r="D304" s="73">
        <f>'Приложение 3'!E305</f>
        <v>0</v>
      </c>
      <c r="E304" s="73">
        <f>'Приложение 3'!F305</f>
        <v>300</v>
      </c>
      <c r="F304" s="58">
        <f>'Приложение 3'!G305</f>
        <v>1045.3000000000002</v>
      </c>
      <c r="G304" s="58">
        <f>'Приложение 3'!H305</f>
        <v>1029.9</v>
      </c>
      <c r="H304" s="58">
        <f t="shared" si="4"/>
        <v>98.5267387352913</v>
      </c>
    </row>
    <row r="305" spans="1:8" ht="50.25" customHeight="1" outlineLevel="3">
      <c r="A305" s="45" t="str">
        <f>'Приложение 3'!A306</f>
        <v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v>
      </c>
      <c r="B305" s="73" t="str">
        <f>'Приложение 3'!C306</f>
        <v>1004</v>
      </c>
      <c r="C305" s="73" t="str">
        <f>'Приложение 3'!D306</f>
        <v>99</v>
      </c>
      <c r="D305" s="73">
        <f>'Приложение 3'!E306</f>
        <v>0</v>
      </c>
      <c r="E305" s="73"/>
      <c r="F305" s="58">
        <f>'Приложение 3'!G306</f>
        <v>26.37156</v>
      </c>
      <c r="G305" s="58">
        <f>'Приложение 3'!H306</f>
        <v>0</v>
      </c>
      <c r="H305" s="58">
        <f t="shared" si="4"/>
        <v>0</v>
      </c>
    </row>
    <row r="306" spans="1:8" ht="27" customHeight="1" outlineLevel="3">
      <c r="A306" s="45" t="str">
        <f>'Приложение 3'!A307</f>
        <v>Закупка товаров, работ и услуг для государственных (муниципальных) нужд</v>
      </c>
      <c r="B306" s="73" t="str">
        <f>'Приложение 3'!C307</f>
        <v>1004</v>
      </c>
      <c r="C306" s="73" t="str">
        <f>'Приложение 3'!D307</f>
        <v>99</v>
      </c>
      <c r="D306" s="73">
        <f>'Приложение 3'!E307</f>
        <v>0</v>
      </c>
      <c r="E306" s="73">
        <f>'Приложение 3'!F307</f>
        <v>200</v>
      </c>
      <c r="F306" s="58">
        <f>'Приложение 3'!G307</f>
        <v>26.37156</v>
      </c>
      <c r="G306" s="58">
        <f>'Приложение 3'!H307</f>
        <v>0</v>
      </c>
      <c r="H306" s="58">
        <f t="shared" si="4"/>
        <v>0</v>
      </c>
    </row>
    <row r="307" spans="1:8" ht="19.5" customHeight="1" outlineLevel="3">
      <c r="A307" s="45" t="str">
        <f>'Приложение 3'!A308</f>
        <v>Другие вопросы в области социальной политики</v>
      </c>
      <c r="B307" s="73" t="str">
        <f>'Приложение 3'!C308</f>
        <v>1006</v>
      </c>
      <c r="C307" s="73">
        <f>'Приложение 3'!D308</f>
        <v>0</v>
      </c>
      <c r="D307" s="73">
        <f>'Приложение 3'!E308</f>
        <v>0</v>
      </c>
      <c r="E307" s="73">
        <f>'Приложение 3'!F308</f>
        <v>0</v>
      </c>
      <c r="F307" s="58">
        <f>'Приложение 3'!G308</f>
        <v>999.395</v>
      </c>
      <c r="G307" s="58">
        <f>'Приложение 3'!H308</f>
        <v>712.09806</v>
      </c>
      <c r="H307" s="58">
        <f t="shared" si="4"/>
        <v>71.25291401297785</v>
      </c>
    </row>
    <row r="308" spans="1:8" ht="24" customHeight="1" outlineLevel="3">
      <c r="A308" s="45" t="str">
        <f>'Приложение 3'!A309</f>
        <v>Непрограммные расходы органов местного самоуправления Алексеевского муниципального района</v>
      </c>
      <c r="B308" s="73" t="str">
        <f>'Приложение 3'!C309</f>
        <v>1006</v>
      </c>
      <c r="C308" s="73" t="str">
        <f>'Приложение 3'!D309</f>
        <v>99</v>
      </c>
      <c r="D308" s="73">
        <f>'Приложение 3'!E309</f>
        <v>0</v>
      </c>
      <c r="E308" s="73">
        <f>'Приложение 3'!F309</f>
        <v>0</v>
      </c>
      <c r="F308" s="58">
        <f>'Приложение 3'!G309</f>
        <v>999.395</v>
      </c>
      <c r="G308" s="58">
        <f>'Приложение 3'!H309</f>
        <v>712.09806</v>
      </c>
      <c r="H308" s="58">
        <f t="shared" si="4"/>
        <v>71.25291401297785</v>
      </c>
    </row>
    <row r="309" spans="1:8" ht="52.5" customHeight="1" outlineLevel="3">
      <c r="A309" s="45" t="str">
        <f>'Приложение 3'!A310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09" s="73" t="str">
        <f>'Приложение 3'!C310</f>
        <v>1006</v>
      </c>
      <c r="C309" s="73" t="str">
        <f>'Приложение 3'!D310</f>
        <v>99</v>
      </c>
      <c r="D309" s="73">
        <f>'Приложение 3'!E310</f>
        <v>0</v>
      </c>
      <c r="E309" s="73">
        <f>'Приложение 3'!F310</f>
        <v>0</v>
      </c>
      <c r="F309" s="58">
        <f>'Приложение 3'!G310</f>
        <v>999.395</v>
      </c>
      <c r="G309" s="58">
        <f>'Приложение 3'!H310</f>
        <v>712.09806</v>
      </c>
      <c r="H309" s="58">
        <f t="shared" si="4"/>
        <v>71.25291401297785</v>
      </c>
    </row>
    <row r="310" spans="1:8" ht="25.5" customHeight="1" outlineLevel="2">
      <c r="A310" s="45" t="str">
        <f>'Приложение 3'!A311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0" s="73" t="str">
        <f>'Приложение 3'!C311</f>
        <v>1006</v>
      </c>
      <c r="C310" s="73" t="str">
        <f>'Приложение 3'!D311</f>
        <v>99</v>
      </c>
      <c r="D310" s="73">
        <f>'Приложение 3'!E311</f>
        <v>0</v>
      </c>
      <c r="E310" s="73">
        <f>'Приложение 3'!F311</f>
        <v>100</v>
      </c>
      <c r="F310" s="58">
        <f>'Приложение 3'!G311</f>
        <v>930.295</v>
      </c>
      <c r="G310" s="58">
        <f>'Приложение 3'!H311</f>
        <v>690.55062</v>
      </c>
      <c r="H310" s="58">
        <f t="shared" si="4"/>
        <v>74.22920901434492</v>
      </c>
    </row>
    <row r="311" spans="1:8" ht="15.75" customHeight="1" outlineLevel="2">
      <c r="A311" s="45" t="str">
        <f>'Приложение 3'!A312</f>
        <v>Закупка товаров, работ и услуг для государственных (муниципальных) нужд</v>
      </c>
      <c r="B311" s="73" t="str">
        <f>'Приложение 3'!C312</f>
        <v>1006</v>
      </c>
      <c r="C311" s="73" t="str">
        <f>'Приложение 3'!D312</f>
        <v>99</v>
      </c>
      <c r="D311" s="73">
        <f>'Приложение 3'!E312</f>
        <v>0</v>
      </c>
      <c r="E311" s="73">
        <f>'Приложение 3'!F312</f>
        <v>200</v>
      </c>
      <c r="F311" s="58">
        <f>'Приложение 3'!G312</f>
        <v>69.1</v>
      </c>
      <c r="G311" s="58">
        <f>'Приложение 3'!H312</f>
        <v>21.54744</v>
      </c>
      <c r="H311" s="58">
        <f t="shared" si="4"/>
        <v>31.182981186685964</v>
      </c>
    </row>
    <row r="312" spans="1:8" ht="15.75" customHeight="1" outlineLevel="2">
      <c r="A312" s="45" t="str">
        <f>'Приложение 3'!A313</f>
        <v>Физическая культура и спорт</v>
      </c>
      <c r="B312" s="73" t="str">
        <f>'Приложение 3'!C313</f>
        <v>1100</v>
      </c>
      <c r="C312" s="73"/>
      <c r="D312" s="73"/>
      <c r="E312" s="73"/>
      <c r="F312" s="58">
        <f>'Приложение 3'!G313</f>
        <v>400</v>
      </c>
      <c r="G312" s="58">
        <f>'Приложение 3'!H313</f>
        <v>364.864</v>
      </c>
      <c r="H312" s="58">
        <f t="shared" si="4"/>
        <v>91.216</v>
      </c>
    </row>
    <row r="313" spans="1:8" ht="15.75" customHeight="1" hidden="1" outlineLevel="2">
      <c r="A313" s="45" t="str">
        <f>'Приложение 3'!A314</f>
        <v>Физическая культура </v>
      </c>
      <c r="B313" s="73" t="str">
        <f>'Приложение 3'!C314</f>
        <v>1101</v>
      </c>
      <c r="C313" s="73"/>
      <c r="D313" s="73"/>
      <c r="E313" s="73"/>
      <c r="F313" s="58">
        <f>'Приложение 3'!G314</f>
        <v>0</v>
      </c>
      <c r="G313" s="58">
        <f>'Приложение 3'!H314</f>
        <v>0</v>
      </c>
      <c r="H313" s="58" t="e">
        <f t="shared" si="4"/>
        <v>#DIV/0!</v>
      </c>
    </row>
    <row r="314" spans="1:8" ht="26.25" customHeight="1" hidden="1" outlineLevel="2">
      <c r="A314" s="45" t="str">
        <f>'Приложение 3'!A315</f>
        <v>Муниципальная программа "Комплексное развитие сельских территорий"</v>
      </c>
      <c r="B314" s="73" t="str">
        <f>'Приложение 3'!C315</f>
        <v>1101</v>
      </c>
      <c r="C314" s="73" t="str">
        <f>'Приложение 3'!D315</f>
        <v>03</v>
      </c>
      <c r="D314" s="73">
        <f>'Приложение 3'!E315</f>
        <v>0</v>
      </c>
      <c r="E314" s="73"/>
      <c r="F314" s="58">
        <f>'Приложение 3'!G315</f>
        <v>0</v>
      </c>
      <c r="G314" s="58">
        <f>'Приложение 3'!H315</f>
        <v>0</v>
      </c>
      <c r="H314" s="58" t="e">
        <f t="shared" si="4"/>
        <v>#DIV/0!</v>
      </c>
    </row>
    <row r="315" spans="1:8" ht="15.75" customHeight="1" hidden="1" outlineLevel="2">
      <c r="A315" s="45" t="str">
        <f>'Приложение 3'!A316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15" s="73" t="str">
        <f>'Приложение 3'!C316</f>
        <v>1101</v>
      </c>
      <c r="C315" s="73" t="str">
        <f>'Приложение 3'!D316</f>
        <v>03</v>
      </c>
      <c r="D315" s="73">
        <f>'Приложение 3'!E316</f>
        <v>0</v>
      </c>
      <c r="E315" s="73">
        <f>'Приложение 3'!F316</f>
        <v>400</v>
      </c>
      <c r="F315" s="58">
        <f>'Приложение 3'!G316</f>
        <v>0</v>
      </c>
      <c r="G315" s="58">
        <f>'Приложение 3'!H316</f>
        <v>0</v>
      </c>
      <c r="H315" s="58" t="e">
        <f t="shared" si="4"/>
        <v>#DIV/0!</v>
      </c>
    </row>
    <row r="316" spans="1:8" ht="15.75" customHeight="1" hidden="1" outlineLevel="2">
      <c r="A316" s="45" t="str">
        <f>'Приложение 3'!A317</f>
        <v>Капитальные вложения в объекты государственной (муниципальной) собственности (софинансирование)</v>
      </c>
      <c r="B316" s="73" t="str">
        <f>'Приложение 3'!C317</f>
        <v>1101</v>
      </c>
      <c r="C316" s="73" t="str">
        <f>'Приложение 3'!D317</f>
        <v>03</v>
      </c>
      <c r="D316" s="73">
        <f>'Приложение 3'!E317</f>
        <v>0</v>
      </c>
      <c r="E316" s="73">
        <f>'Приложение 3'!F317</f>
        <v>400</v>
      </c>
      <c r="F316" s="58">
        <f>'Приложение 3'!G317</f>
        <v>0</v>
      </c>
      <c r="G316" s="58">
        <f>'Приложение 3'!H317</f>
        <v>0</v>
      </c>
      <c r="H316" s="58" t="e">
        <f t="shared" si="4"/>
        <v>#DIV/0!</v>
      </c>
    </row>
    <row r="317" spans="1:8" ht="12.75" hidden="1" outlineLevel="2">
      <c r="A317" s="45" t="str">
        <f>'Приложение 3'!A318</f>
        <v>Массовый спорт</v>
      </c>
      <c r="B317" s="73" t="str">
        <f>'Приложение 3'!C318</f>
        <v>1102</v>
      </c>
      <c r="C317" s="73"/>
      <c r="D317" s="73"/>
      <c r="E317" s="73"/>
      <c r="F317" s="58">
        <f>'Приложение 3'!G318</f>
        <v>0</v>
      </c>
      <c r="G317" s="58">
        <f>'Приложение 3'!H318</f>
        <v>0</v>
      </c>
      <c r="H317" s="58" t="e">
        <f t="shared" si="4"/>
        <v>#DIV/0!</v>
      </c>
    </row>
    <row r="318" spans="1:8" ht="36" hidden="1" outlineLevel="2">
      <c r="A318" s="45" t="str">
        <f>'Приложение 3'!A319</f>
        <v>Муниципальная программа "Развитие физической культуры и спорта в Алексеевском муниципальном районе на 2019-2023 годы"</v>
      </c>
      <c r="B318" s="73" t="str">
        <f>'Приложение 3'!C319</f>
        <v>1102</v>
      </c>
      <c r="C318" s="73" t="str">
        <f>'Приложение 3'!D319</f>
        <v>17</v>
      </c>
      <c r="D318" s="73">
        <f>'Приложение 3'!E319</f>
        <v>0</v>
      </c>
      <c r="E318" s="73"/>
      <c r="F318" s="58">
        <f>'Приложение 3'!G319</f>
        <v>0</v>
      </c>
      <c r="G318" s="58">
        <f>'Приложение 3'!H319</f>
        <v>0</v>
      </c>
      <c r="H318" s="58" t="e">
        <f t="shared" si="4"/>
        <v>#DIV/0!</v>
      </c>
    </row>
    <row r="319" spans="1:8" ht="36" hidden="1" outlineLevel="2">
      <c r="A319" s="45" t="str">
        <f>'Приложение 3'!A320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19" s="73" t="str">
        <f>'Приложение 3'!C320</f>
        <v>1102</v>
      </c>
      <c r="C319" s="73" t="str">
        <f>'Приложение 3'!D320</f>
        <v>17</v>
      </c>
      <c r="D319" s="73">
        <f>'Приложение 3'!E320</f>
        <v>0</v>
      </c>
      <c r="E319" s="73">
        <f>'Приложение 3'!F320</f>
        <v>400</v>
      </c>
      <c r="F319" s="58">
        <f>'Приложение 3'!G320</f>
        <v>0</v>
      </c>
      <c r="G319" s="58">
        <f>'Приложение 3'!H320</f>
        <v>0</v>
      </c>
      <c r="H319" s="58" t="e">
        <f t="shared" si="4"/>
        <v>#DIV/0!</v>
      </c>
    </row>
    <row r="320" spans="1:8" ht="24" hidden="1" outlineLevel="3">
      <c r="A320" s="45" t="str">
        <f>'Приложение 3'!A321</f>
        <v>Капитальные вложения в объекты государственной (муниципальной) собственности</v>
      </c>
      <c r="B320" s="73" t="str">
        <f>'Приложение 3'!C321</f>
        <v>1102</v>
      </c>
      <c r="C320" s="73" t="str">
        <f>'Приложение 3'!D321</f>
        <v>17</v>
      </c>
      <c r="D320" s="73">
        <f>'Приложение 3'!E321</f>
        <v>0</v>
      </c>
      <c r="E320" s="73">
        <f>'Приложение 3'!F321</f>
        <v>400</v>
      </c>
      <c r="F320" s="58">
        <f>'Приложение 3'!G321</f>
        <v>0</v>
      </c>
      <c r="G320" s="58">
        <f>'Приложение 3'!H321</f>
        <v>0</v>
      </c>
      <c r="H320" s="58" t="e">
        <f t="shared" si="4"/>
        <v>#DIV/0!</v>
      </c>
    </row>
    <row r="321" spans="1:8" ht="19.5" customHeight="1" outlineLevel="3">
      <c r="A321" s="45" t="str">
        <f>'Приложение 3'!A322</f>
        <v>Другие вопросы в области физической культуры и спорта</v>
      </c>
      <c r="B321" s="73" t="str">
        <f>'Приложение 3'!C322</f>
        <v>1105</v>
      </c>
      <c r="C321" s="73"/>
      <c r="D321" s="73"/>
      <c r="E321" s="73"/>
      <c r="F321" s="58">
        <f>'Приложение 3'!G322</f>
        <v>400</v>
      </c>
      <c r="G321" s="58">
        <f>'Приложение 3'!H322</f>
        <v>364.864</v>
      </c>
      <c r="H321" s="58">
        <f t="shared" si="4"/>
        <v>91.216</v>
      </c>
    </row>
    <row r="322" spans="1:8" ht="16.5" customHeight="1" outlineLevel="3">
      <c r="A322" s="45" t="str">
        <f>'Приложение 3'!A323</f>
        <v>Муниципальная программа "Развитие физической культуры и спорта в Алексеевском муниципальном районе на 2019-2023 годы"</v>
      </c>
      <c r="B322" s="73" t="str">
        <f>'Приложение 3'!C323</f>
        <v>1105</v>
      </c>
      <c r="C322" s="73" t="str">
        <f>'Приложение 3'!D323</f>
        <v>17</v>
      </c>
      <c r="D322" s="73">
        <f>'Приложение 3'!E323</f>
        <v>0</v>
      </c>
      <c r="E322" s="73"/>
      <c r="F322" s="58">
        <f>'Приложение 3'!G323</f>
        <v>400</v>
      </c>
      <c r="G322" s="58">
        <f>'Приложение 3'!H323</f>
        <v>364.864</v>
      </c>
      <c r="H322" s="58">
        <f t="shared" si="4"/>
        <v>91.216</v>
      </c>
    </row>
    <row r="323" spans="1:8" ht="13.5" customHeight="1" outlineLevel="3">
      <c r="A323" s="45" t="str">
        <f>'Приложение 3'!A324</f>
        <v>Закупка товаров, работ и услуг для государственных (муниципальных) нужд</v>
      </c>
      <c r="B323" s="73" t="str">
        <f>'Приложение 3'!C324</f>
        <v>1105</v>
      </c>
      <c r="C323" s="73" t="str">
        <f>'Приложение 3'!D324</f>
        <v>17</v>
      </c>
      <c r="D323" s="73">
        <f>'Приложение 3'!E324</f>
        <v>0</v>
      </c>
      <c r="E323" s="73">
        <f>'Приложение 3'!F324</f>
        <v>200</v>
      </c>
      <c r="F323" s="58">
        <f>'Приложение 3'!G324</f>
        <v>400</v>
      </c>
      <c r="G323" s="58">
        <f>'Приложение 3'!H324</f>
        <v>364.864</v>
      </c>
      <c r="H323" s="58">
        <f t="shared" si="4"/>
        <v>91.216</v>
      </c>
    </row>
    <row r="324" spans="1:8" ht="12.75" outlineLevel="1">
      <c r="A324" s="45" t="str">
        <f>'Приложение 3'!A325</f>
        <v>Средства массовой информации </v>
      </c>
      <c r="B324" s="73" t="str">
        <f>'Приложение 3'!C325</f>
        <v>1200</v>
      </c>
      <c r="C324" s="73"/>
      <c r="D324" s="73"/>
      <c r="E324" s="73"/>
      <c r="F324" s="58">
        <f>'Приложение 3'!G325</f>
        <v>2182.9</v>
      </c>
      <c r="G324" s="58">
        <f>'Приложение 3'!H325</f>
        <v>1917.9</v>
      </c>
      <c r="H324" s="58">
        <f t="shared" si="4"/>
        <v>87.86018599111274</v>
      </c>
    </row>
    <row r="325" spans="1:8" ht="16.5" customHeight="1" outlineLevel="2">
      <c r="A325" s="45" t="str">
        <f>'Приложение 3'!A326</f>
        <v>Периодическая печать и издательство</v>
      </c>
      <c r="B325" s="73" t="str">
        <f>'Приложение 3'!C326</f>
        <v>1202</v>
      </c>
      <c r="C325" s="73"/>
      <c r="D325" s="73"/>
      <c r="E325" s="73"/>
      <c r="F325" s="58">
        <f>'Приложение 3'!G326</f>
        <v>2182.9</v>
      </c>
      <c r="G325" s="58">
        <f>'Приложение 3'!H326</f>
        <v>1917.9</v>
      </c>
      <c r="H325" s="58">
        <f t="shared" si="4"/>
        <v>87.86018599111274</v>
      </c>
    </row>
    <row r="326" spans="1:8" ht="36" outlineLevel="2">
      <c r="A326" s="45" t="str">
        <f>'Приложение 3'!A327</f>
        <v>Ведомственная целевая программа "Поддержка средств массовой информации в Алексеевском муниципальном районе на 2022-2024 годы"</v>
      </c>
      <c r="B326" s="73" t="str">
        <f>'Приложение 3'!C327</f>
        <v>1202</v>
      </c>
      <c r="C326" s="73" t="str">
        <f>'Приложение 3'!D327</f>
        <v>61</v>
      </c>
      <c r="D326" s="73">
        <f>'Приложение 3'!E327</f>
        <v>0</v>
      </c>
      <c r="E326" s="73"/>
      <c r="F326" s="58">
        <f>'Приложение 3'!G327</f>
        <v>2182.9</v>
      </c>
      <c r="G326" s="58">
        <f>'Приложение 3'!H327</f>
        <v>1917.9</v>
      </c>
      <c r="H326" s="58">
        <f t="shared" si="4"/>
        <v>87.86018599111274</v>
      </c>
    </row>
    <row r="327" spans="1:8" ht="24" outlineLevel="5">
      <c r="A327" s="45" t="str">
        <f>'Приложение 3'!A328</f>
        <v>Предоставление субсидий бюджетным, автономным учреждениям и иным некоммерческим организациям</v>
      </c>
      <c r="B327" s="73" t="str">
        <f>'Приложение 3'!C328</f>
        <v>1202</v>
      </c>
      <c r="C327" s="73" t="str">
        <f>'Приложение 3'!D328</f>
        <v>61</v>
      </c>
      <c r="D327" s="73">
        <f>'Приложение 3'!E328</f>
        <v>0</v>
      </c>
      <c r="E327" s="73">
        <f>'Приложение 3'!F328</f>
        <v>600</v>
      </c>
      <c r="F327" s="58">
        <f>'Приложение 3'!G328</f>
        <v>1200</v>
      </c>
      <c r="G327" s="58">
        <f>'Приложение 3'!H328</f>
        <v>935</v>
      </c>
      <c r="H327" s="58">
        <f t="shared" si="4"/>
        <v>77.91666666666667</v>
      </c>
    </row>
    <row r="328" spans="1:8" ht="96" outlineLevel="5">
      <c r="A328" s="45" t="str">
        <f>'Приложение 3'!A329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28" s="73" t="str">
        <f>'Приложение 3'!C329</f>
        <v>1202</v>
      </c>
      <c r="C328" s="73" t="str">
        <f>'Приложение 3'!D329</f>
        <v>61</v>
      </c>
      <c r="D328" s="73">
        <f>'Приложение 3'!E329</f>
        <v>0</v>
      </c>
      <c r="E328" s="73">
        <f>'Приложение 3'!F329</f>
        <v>600</v>
      </c>
      <c r="F328" s="58">
        <f>'Приложение 3'!G329</f>
        <v>982.9</v>
      </c>
      <c r="G328" s="58">
        <f>'Приложение 3'!H329</f>
        <v>982.9</v>
      </c>
      <c r="H328" s="58">
        <f t="shared" si="4"/>
        <v>100</v>
      </c>
    </row>
    <row r="329" spans="1:8" ht="21" customHeight="1" outlineLevel="5">
      <c r="A329" s="45" t="str">
        <f>'Приложение 3'!A330</f>
        <v>Обслуживание государственного (муниципального) долга </v>
      </c>
      <c r="B329" s="73" t="str">
        <f>'Приложение 3'!C330</f>
        <v>1300</v>
      </c>
      <c r="C329" s="73"/>
      <c r="D329" s="73"/>
      <c r="E329" s="73"/>
      <c r="F329" s="58">
        <f>'Приложение 3'!G330</f>
        <v>300</v>
      </c>
      <c r="G329" s="58">
        <f>'Приложение 3'!H330</f>
        <v>211.96698</v>
      </c>
      <c r="H329" s="58">
        <f t="shared" si="4"/>
        <v>70.65566</v>
      </c>
    </row>
    <row r="330" spans="1:8" ht="24" outlineLevel="5">
      <c r="A330" s="45" t="str">
        <f>'Приложение 3'!A331</f>
        <v>Обслуживание государственного (муниципального) внутреннего долга </v>
      </c>
      <c r="B330" s="73" t="str">
        <f>'Приложение 3'!C331</f>
        <v>1301</v>
      </c>
      <c r="C330" s="73"/>
      <c r="D330" s="73"/>
      <c r="E330" s="73"/>
      <c r="F330" s="58">
        <f>'Приложение 3'!G331</f>
        <v>300</v>
      </c>
      <c r="G330" s="58">
        <f>'Приложение 3'!H331</f>
        <v>211.96698</v>
      </c>
      <c r="H330" s="58">
        <f aca="true" t="shared" si="5" ref="H330:H337">SUM(G330/F330)*100</f>
        <v>70.65566</v>
      </c>
    </row>
    <row r="331" spans="1:8" ht="24" outlineLevel="5">
      <c r="A331" s="45" t="str">
        <f>'Приложение 3'!A332</f>
        <v>Непрограммные расходы органов местного самоуправления Алексеевского муниципального района</v>
      </c>
      <c r="B331" s="73" t="str">
        <f>'Приложение 3'!C332</f>
        <v>1301</v>
      </c>
      <c r="C331" s="73" t="str">
        <f>'Приложение 3'!D332</f>
        <v>99</v>
      </c>
      <c r="D331" s="73">
        <f>'Приложение 3'!E332</f>
        <v>0</v>
      </c>
      <c r="E331" s="73"/>
      <c r="F331" s="58">
        <f>'Приложение 3'!G332</f>
        <v>300</v>
      </c>
      <c r="G331" s="58">
        <f>'Приложение 3'!H332</f>
        <v>211.96698</v>
      </c>
      <c r="H331" s="58">
        <f t="shared" si="5"/>
        <v>70.65566</v>
      </c>
    </row>
    <row r="332" spans="1:8" ht="12.75" outlineLevel="5">
      <c r="A332" s="45" t="str">
        <f>'Приложение 3'!A333</f>
        <v>Обслуживание государственного (муниципального) долга </v>
      </c>
      <c r="B332" s="73" t="str">
        <f>'Приложение 3'!C333</f>
        <v>1301</v>
      </c>
      <c r="C332" s="73" t="str">
        <f>'Приложение 3'!D333</f>
        <v>99</v>
      </c>
      <c r="D332" s="73">
        <f>'Приложение 3'!E333</f>
        <v>0</v>
      </c>
      <c r="E332" s="73">
        <f>'Приложение 3'!F333</f>
        <v>700</v>
      </c>
      <c r="F332" s="58">
        <f>'Приложение 3'!G333</f>
        <v>300</v>
      </c>
      <c r="G332" s="58">
        <f>'Приложение 3'!H333</f>
        <v>211.96698</v>
      </c>
      <c r="H332" s="58">
        <f t="shared" si="5"/>
        <v>70.65566</v>
      </c>
    </row>
    <row r="333" spans="1:8" ht="30.75" customHeight="1" outlineLevel="5">
      <c r="A333" s="45" t="str">
        <f>'Приложение 3'!A334</f>
        <v>Межбюджетные трансферты общего характера бюджетам бюджетной системы Российской Федерации</v>
      </c>
      <c r="B333" s="73" t="str">
        <f>'Приложение 3'!C334</f>
        <v>1400</v>
      </c>
      <c r="C333" s="73"/>
      <c r="D333" s="73"/>
      <c r="E333" s="73"/>
      <c r="F333" s="58">
        <f>'Приложение 3'!G334</f>
        <v>17843.5</v>
      </c>
      <c r="G333" s="58">
        <f>'Приложение 3'!H334</f>
        <v>13382.622</v>
      </c>
      <c r="H333" s="58">
        <f t="shared" si="5"/>
        <v>74.99998318715498</v>
      </c>
    </row>
    <row r="334" spans="1:8" ht="18.75" customHeight="1" outlineLevel="5">
      <c r="A334" s="45" t="str">
        <f>'Приложение 3'!A335</f>
        <v>Прочие межбюджетные трансферты общего характера</v>
      </c>
      <c r="B334" s="73" t="str">
        <f>'Приложение 3'!C335</f>
        <v>1403</v>
      </c>
      <c r="C334" s="73"/>
      <c r="D334" s="73"/>
      <c r="E334" s="73"/>
      <c r="F334" s="58">
        <f>'Приложение 3'!G335</f>
        <v>17843.5</v>
      </c>
      <c r="G334" s="58">
        <f>'Приложение 3'!H335</f>
        <v>13382.622</v>
      </c>
      <c r="H334" s="58">
        <f t="shared" si="5"/>
        <v>74.99998318715498</v>
      </c>
    </row>
    <row r="335" spans="1:8" ht="17.25" customHeight="1" outlineLevel="5">
      <c r="A335" s="45" t="str">
        <f>'Приложение 3'!A336</f>
        <v>Непрограммные расходы органов местного самоуправления Алексеевского муниципального района</v>
      </c>
      <c r="B335" s="73" t="str">
        <f>'Приложение 3'!C336</f>
        <v>1403</v>
      </c>
      <c r="C335" s="73" t="str">
        <f>'Приложение 3'!D336</f>
        <v>99</v>
      </c>
      <c r="D335" s="73">
        <f>'Приложение 3'!E336</f>
        <v>0</v>
      </c>
      <c r="E335" s="73"/>
      <c r="F335" s="58">
        <f>'Приложение 3'!G336</f>
        <v>17843.5</v>
      </c>
      <c r="G335" s="58">
        <f>'Приложение 3'!H336</f>
        <v>13382.622</v>
      </c>
      <c r="H335" s="58">
        <f t="shared" si="5"/>
        <v>74.99998318715498</v>
      </c>
    </row>
    <row r="336" spans="1:8" ht="12.75">
      <c r="A336" s="45" t="str">
        <f>'Приложение 3'!A337</f>
        <v>Межбюджетные трансферты</v>
      </c>
      <c r="B336" s="73" t="str">
        <f>'Приложение 3'!C337</f>
        <v>1403</v>
      </c>
      <c r="C336" s="73" t="str">
        <f>'Приложение 3'!D337</f>
        <v>99</v>
      </c>
      <c r="D336" s="73">
        <f>'Приложение 3'!E337</f>
        <v>0</v>
      </c>
      <c r="E336" s="73">
        <f>'Приложение 3'!F337</f>
        <v>500</v>
      </c>
      <c r="F336" s="58">
        <f>'Приложение 3'!G337</f>
        <v>17843.5</v>
      </c>
      <c r="G336" s="58">
        <f>'Приложение 3'!H337</f>
        <v>13382.622</v>
      </c>
      <c r="H336" s="58">
        <f t="shared" si="5"/>
        <v>74.99998318715498</v>
      </c>
    </row>
    <row r="337" spans="1:8" ht="12.75">
      <c r="A337" s="45" t="str">
        <f>'Приложение 3'!A338</f>
        <v>Всего </v>
      </c>
      <c r="B337" s="73"/>
      <c r="C337" s="73"/>
      <c r="D337" s="73"/>
      <c r="E337" s="73"/>
      <c r="F337" s="58">
        <f>'Приложение 3'!G338</f>
        <v>456661.46252</v>
      </c>
      <c r="G337" s="58">
        <f>'Приложение 3'!H338</f>
        <v>295447.00688</v>
      </c>
      <c r="H337" s="58">
        <f t="shared" si="5"/>
        <v>64.69716214931549</v>
      </c>
    </row>
    <row r="338" spans="1:5" ht="12.75">
      <c r="A338" s="2"/>
      <c r="B338" s="2"/>
      <c r="C338" s="2"/>
      <c r="D338" s="2"/>
      <c r="E338" s="2"/>
    </row>
  </sheetData>
  <sheetProtection/>
  <mergeCells count="6">
    <mergeCell ref="F8:G8"/>
    <mergeCell ref="F1:H1"/>
    <mergeCell ref="B2:H2"/>
    <mergeCell ref="E3:H3"/>
    <mergeCell ref="A4:H4"/>
    <mergeCell ref="A6:H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82"/>
  <sheetViews>
    <sheetView showGridLines="0" view="pageBreakPreview" zoomScaleSheetLayoutView="100" zoomScalePageLayoutView="0" workbookViewId="0" topLeftCell="A1">
      <pane ySplit="8" topLeftCell="A69" activePane="bottomLeft" state="frozen"/>
      <selection pane="topLeft" activeCell="A1" sqref="A1"/>
      <selection pane="bottomLeft" activeCell="P35" sqref="P35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7.00390625" style="11" customWidth="1"/>
    <col min="5" max="5" width="12.00390625" style="2" customWidth="1"/>
    <col min="6" max="6" width="11.57421875" style="2" customWidth="1"/>
    <col min="7" max="7" width="12.00390625" style="2" customWidth="1"/>
    <col min="8" max="9" width="9.140625" style="2" hidden="1" customWidth="1"/>
    <col min="10" max="16384" width="9.140625" style="2" customWidth="1"/>
  </cols>
  <sheetData>
    <row r="1" spans="3:7" ht="18.75" customHeight="1">
      <c r="C1" s="111" t="s">
        <v>220</v>
      </c>
      <c r="D1" s="111"/>
      <c r="E1" s="111"/>
      <c r="F1" s="111"/>
      <c r="G1" s="111"/>
    </row>
    <row r="2" spans="3:7" ht="18.75" customHeight="1">
      <c r="C2" s="111" t="s">
        <v>121</v>
      </c>
      <c r="D2" s="111"/>
      <c r="E2" s="111"/>
      <c r="F2" s="111"/>
      <c r="G2" s="111"/>
    </row>
    <row r="3" spans="3:7" ht="18.75" customHeight="1">
      <c r="C3" s="111" t="s">
        <v>122</v>
      </c>
      <c r="D3" s="111"/>
      <c r="E3" s="111"/>
      <c r="F3" s="111"/>
      <c r="G3" s="111"/>
    </row>
    <row r="4" spans="1:7" ht="21.75" customHeight="1">
      <c r="A4" s="8"/>
      <c r="B4" s="1"/>
      <c r="C4" s="111" t="s">
        <v>150</v>
      </c>
      <c r="D4" s="111"/>
      <c r="E4" s="111"/>
      <c r="F4" s="111"/>
      <c r="G4" s="111"/>
    </row>
    <row r="5" spans="1:7" ht="36.75" customHeight="1">
      <c r="A5" s="117" t="s">
        <v>332</v>
      </c>
      <c r="B5" s="117"/>
      <c r="C5" s="117"/>
      <c r="D5" s="117"/>
      <c r="E5" s="117"/>
      <c r="F5" s="117"/>
      <c r="G5" s="117"/>
    </row>
    <row r="6" spans="1:7" ht="12.75" hidden="1">
      <c r="A6" s="31"/>
      <c r="B6" s="32"/>
      <c r="C6" s="33"/>
      <c r="D6" s="34"/>
      <c r="E6" s="16"/>
      <c r="F6" s="16"/>
      <c r="G6" s="16"/>
    </row>
    <row r="7" spans="1:7" ht="12.75" customHeight="1">
      <c r="A7" s="31"/>
      <c r="B7" s="32"/>
      <c r="C7" s="33"/>
      <c r="D7" s="34"/>
      <c r="E7" s="118"/>
      <c r="F7" s="118"/>
      <c r="G7" s="80" t="s">
        <v>283</v>
      </c>
    </row>
    <row r="8" spans="1:7" ht="72.75" customHeight="1">
      <c r="A8" s="50" t="s">
        <v>1</v>
      </c>
      <c r="B8" s="89" t="s">
        <v>174</v>
      </c>
      <c r="C8" s="90" t="s">
        <v>8</v>
      </c>
      <c r="D8" s="91" t="s">
        <v>173</v>
      </c>
      <c r="E8" s="35" t="s">
        <v>360</v>
      </c>
      <c r="F8" s="35" t="s">
        <v>349</v>
      </c>
      <c r="G8" s="35" t="s">
        <v>348</v>
      </c>
    </row>
    <row r="9" spans="1:7" ht="39" customHeight="1" outlineLevel="2">
      <c r="A9" s="51" t="str">
        <f>'Приложение 3'!A49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66" t="str">
        <f>'Приложение 3'!D49</f>
        <v>01</v>
      </c>
      <c r="C9" s="66">
        <f>'Приложение 3'!E49</f>
        <v>0</v>
      </c>
      <c r="D9" s="66" t="s">
        <v>175</v>
      </c>
      <c r="E9" s="67">
        <f>SUM('Приложение 3'!G49)</f>
        <v>50</v>
      </c>
      <c r="F9" s="67">
        <f>SUM('Приложение 3'!H49)</f>
        <v>0</v>
      </c>
      <c r="G9" s="67">
        <f aca="true" t="shared" si="0" ref="G9:G72">SUM(F9/E9)*100</f>
        <v>0</v>
      </c>
    </row>
    <row r="10" spans="1:7" ht="17.25" customHeight="1" outlineLevel="2">
      <c r="A10" s="52" t="s">
        <v>181</v>
      </c>
      <c r="B10" s="38" t="s">
        <v>2</v>
      </c>
      <c r="C10" s="38" t="s">
        <v>9</v>
      </c>
      <c r="D10" s="38" t="s">
        <v>2</v>
      </c>
      <c r="E10" s="65">
        <f>SUM('Приложение 3'!G50)</f>
        <v>50</v>
      </c>
      <c r="F10" s="65">
        <f>SUM('Приложение 3'!H50)</f>
        <v>0</v>
      </c>
      <c r="G10" s="65">
        <f t="shared" si="0"/>
        <v>0</v>
      </c>
    </row>
    <row r="11" spans="1:7" ht="40.5" customHeight="1" outlineLevel="5">
      <c r="A11" s="48" t="str">
        <f>'Приложение 3'!A136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66" t="s">
        <v>6</v>
      </c>
      <c r="C11" s="68">
        <v>0</v>
      </c>
      <c r="D11" s="66" t="s">
        <v>175</v>
      </c>
      <c r="E11" s="67">
        <f>SUM(E12+E18+E15)</f>
        <v>33092.67443</v>
      </c>
      <c r="F11" s="67">
        <f>SUM(F12+F18+F15)</f>
        <v>11924.59817</v>
      </c>
      <c r="G11" s="67">
        <f t="shared" si="0"/>
        <v>36.033951245686616</v>
      </c>
    </row>
    <row r="12" spans="1:7" ht="49.5" customHeight="1" outlineLevel="5">
      <c r="A12" s="48" t="str">
        <f>'Приложение 3'!A137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66" t="s">
        <v>6</v>
      </c>
      <c r="C12" s="68">
        <v>1</v>
      </c>
      <c r="D12" s="66" t="s">
        <v>175</v>
      </c>
      <c r="E12" s="67">
        <f>SUM(E13:E14)</f>
        <v>6400.46429</v>
      </c>
      <c r="F12" s="67">
        <f>SUM(F13:F14)</f>
        <v>2014.3531699999999</v>
      </c>
      <c r="G12" s="67">
        <f t="shared" si="0"/>
        <v>31.471985136253295</v>
      </c>
    </row>
    <row r="13" spans="1:7" ht="27" customHeight="1">
      <c r="A13" s="52" t="s">
        <v>185</v>
      </c>
      <c r="B13" s="38" t="s">
        <v>6</v>
      </c>
      <c r="C13" s="38" t="s">
        <v>178</v>
      </c>
      <c r="D13" s="38" t="s">
        <v>2</v>
      </c>
      <c r="E13" s="65">
        <f>SUM('Приложение 3'!G140+'Приложение 3'!G138)</f>
        <v>1956.0198500000001</v>
      </c>
      <c r="F13" s="65">
        <f>SUM('Приложение 3'!H140+'Приложение 3'!H138)</f>
        <v>681.01985</v>
      </c>
      <c r="G13" s="65">
        <f t="shared" si="0"/>
        <v>34.816612418324894</v>
      </c>
    </row>
    <row r="14" spans="1:7" ht="27" customHeight="1">
      <c r="A14" s="52" t="s">
        <v>314</v>
      </c>
      <c r="B14" s="38" t="s">
        <v>6</v>
      </c>
      <c r="C14" s="38" t="s">
        <v>178</v>
      </c>
      <c r="D14" s="38" t="s">
        <v>6</v>
      </c>
      <c r="E14" s="65">
        <f>SUM('Приложение 3'!G139)</f>
        <v>4444.44444</v>
      </c>
      <c r="F14" s="65">
        <f>SUM('Приложение 3'!H139)</f>
        <v>1333.33332</v>
      </c>
      <c r="G14" s="65">
        <f t="shared" si="0"/>
        <v>29.99999973</v>
      </c>
    </row>
    <row r="15" spans="1:7" ht="27" customHeight="1">
      <c r="A15" s="48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66" t="s">
        <v>6</v>
      </c>
      <c r="C15" s="68">
        <v>3</v>
      </c>
      <c r="D15" s="66" t="s">
        <v>175</v>
      </c>
      <c r="E15" s="67">
        <f>SUM(E16:E17)</f>
        <v>24573.749289999996</v>
      </c>
      <c r="F15" s="67">
        <f>SUM(F16:F17)</f>
        <v>8532.28646</v>
      </c>
      <c r="G15" s="67">
        <f t="shared" si="0"/>
        <v>34.72114230233526</v>
      </c>
    </row>
    <row r="16" spans="1:7" ht="36">
      <c r="A16" s="47" t="s">
        <v>208</v>
      </c>
      <c r="B16" s="38" t="s">
        <v>6</v>
      </c>
      <c r="C16" s="38" t="s">
        <v>180</v>
      </c>
      <c r="D16" s="38" t="s">
        <v>2</v>
      </c>
      <c r="E16" s="65">
        <f>SUM('Приложение 3'!G277+'Приложение 3'!G162+'Приложение 3'!G141)</f>
        <v>8000</v>
      </c>
      <c r="F16" s="65">
        <f>SUM('Приложение 3'!H277+'Приложение 3'!H162+'Приложение 3'!H141)</f>
        <v>0</v>
      </c>
      <c r="G16" s="65">
        <f t="shared" si="0"/>
        <v>0</v>
      </c>
    </row>
    <row r="17" spans="1:7" ht="24">
      <c r="A17" s="52" t="s">
        <v>199</v>
      </c>
      <c r="B17" s="38" t="s">
        <v>6</v>
      </c>
      <c r="C17" s="38" t="s">
        <v>180</v>
      </c>
      <c r="D17" s="38" t="s">
        <v>6</v>
      </c>
      <c r="E17" s="65">
        <f>SUM('Приложение 3'!G163+'Приложение 3'!G184+'Приложение 3'!G65+'Приложение 3'!G221)</f>
        <v>16573.749289999996</v>
      </c>
      <c r="F17" s="65">
        <f>SUM('Приложение 3'!H163+'Приложение 3'!H184+'Приложение 3'!H65+'Приложение 3'!H221)</f>
        <v>8532.28646</v>
      </c>
      <c r="G17" s="65">
        <f t="shared" si="0"/>
        <v>51.480726000531895</v>
      </c>
    </row>
    <row r="18" spans="1:7" ht="36" customHeight="1">
      <c r="A18" s="51" t="str">
        <f>'Приложение 3'!A66</f>
        <v>Подпрограмма "Энергосбережение и повышение энергетической эффективности Алексеевского муниципального района"</v>
      </c>
      <c r="B18" s="66" t="s">
        <v>6</v>
      </c>
      <c r="C18" s="66" t="s">
        <v>186</v>
      </c>
      <c r="D18" s="66" t="s">
        <v>175</v>
      </c>
      <c r="E18" s="67">
        <f>SUM(E19:E20)</f>
        <v>2118.46085</v>
      </c>
      <c r="F18" s="67">
        <f>SUM(F19:F20)</f>
        <v>1377.95854</v>
      </c>
      <c r="G18" s="67">
        <f t="shared" si="0"/>
        <v>65.04526812473311</v>
      </c>
    </row>
    <row r="19" spans="1:7" ht="27.75" customHeight="1">
      <c r="A19" s="52" t="s">
        <v>215</v>
      </c>
      <c r="B19" s="38" t="s">
        <v>6</v>
      </c>
      <c r="C19" s="38" t="s">
        <v>186</v>
      </c>
      <c r="D19" s="38" t="s">
        <v>2</v>
      </c>
      <c r="E19" s="65">
        <f>SUM('Приложение 3'!G67+'Приложение 3'!G165+'Приложение 3'!G189+'Приложение 3'!G188)</f>
        <v>1065.82927</v>
      </c>
      <c r="F19" s="65">
        <f>SUM('Приложение 3'!H67+'Приложение 3'!H165+'Приложение 3'!H189+'Приложение 3'!H188)</f>
        <v>325.32696</v>
      </c>
      <c r="G19" s="65">
        <f t="shared" si="0"/>
        <v>30.523365153970673</v>
      </c>
    </row>
    <row r="20" spans="1:7" ht="48">
      <c r="A20" s="52" t="s">
        <v>275</v>
      </c>
      <c r="B20" s="38" t="s">
        <v>6</v>
      </c>
      <c r="C20" s="38" t="s">
        <v>186</v>
      </c>
      <c r="D20" s="38" t="s">
        <v>6</v>
      </c>
      <c r="E20" s="65">
        <f>SUM('Приложение 3'!G190)</f>
        <v>1052.63158</v>
      </c>
      <c r="F20" s="65">
        <f>SUM('Приложение 3'!H190)</f>
        <v>1052.63158</v>
      </c>
      <c r="G20" s="65">
        <f t="shared" si="0"/>
        <v>100</v>
      </c>
    </row>
    <row r="21" spans="1:7" ht="26.25" customHeight="1">
      <c r="A21" s="48" t="str">
        <f>'Приложение 3'!A152</f>
        <v>Муниципальная программа "Комплексное развитие сельских территорий"</v>
      </c>
      <c r="B21" s="66" t="s">
        <v>12</v>
      </c>
      <c r="C21" s="66" t="s">
        <v>9</v>
      </c>
      <c r="D21" s="66" t="s">
        <v>175</v>
      </c>
      <c r="E21" s="67">
        <f>SUM('Приложение 3'!G152)</f>
        <v>2706.187</v>
      </c>
      <c r="F21" s="67">
        <f>SUM('Приложение 3'!H152)</f>
        <v>2706.187</v>
      </c>
      <c r="G21" s="67">
        <f t="shared" si="0"/>
        <v>100</v>
      </c>
    </row>
    <row r="22" spans="1:7" ht="24">
      <c r="A22" s="47" t="s">
        <v>344</v>
      </c>
      <c r="B22" s="38" t="s">
        <v>12</v>
      </c>
      <c r="C22" s="38" t="s">
        <v>9</v>
      </c>
      <c r="D22" s="38" t="s">
        <v>6</v>
      </c>
      <c r="E22" s="65">
        <f>SUM('Приложение 3'!G152)</f>
        <v>2706.187</v>
      </c>
      <c r="F22" s="65">
        <f>SUM('Приложение 3'!H152)</f>
        <v>2706.187</v>
      </c>
      <c r="G22" s="65">
        <f t="shared" si="0"/>
        <v>100</v>
      </c>
    </row>
    <row r="23" spans="1:7" ht="39.75" customHeight="1">
      <c r="A23" s="48" t="str">
        <f>'Приложение 3'!A124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23" s="66" t="s">
        <v>13</v>
      </c>
      <c r="C23" s="66" t="s">
        <v>9</v>
      </c>
      <c r="D23" s="66" t="s">
        <v>175</v>
      </c>
      <c r="E23" s="67">
        <f>SUM('Приложение 3'!G124)</f>
        <v>100</v>
      </c>
      <c r="F23" s="67">
        <f>SUM('Приложение 3'!H124)</f>
        <v>0</v>
      </c>
      <c r="G23" s="67">
        <f t="shared" si="0"/>
        <v>0</v>
      </c>
    </row>
    <row r="24" spans="1:7" ht="36">
      <c r="A24" s="52" t="s">
        <v>187</v>
      </c>
      <c r="B24" s="38" t="s">
        <v>13</v>
      </c>
      <c r="C24" s="38" t="s">
        <v>9</v>
      </c>
      <c r="D24" s="38" t="s">
        <v>2</v>
      </c>
      <c r="E24" s="65">
        <f>SUM('Приложение 3'!G125)</f>
        <v>0</v>
      </c>
      <c r="F24" s="65">
        <f>SUM('Приложение 3'!H125)</f>
        <v>0</v>
      </c>
      <c r="G24" s="65">
        <v>0</v>
      </c>
    </row>
    <row r="25" spans="1:7" ht="22.5" customHeight="1">
      <c r="A25" s="52" t="s">
        <v>188</v>
      </c>
      <c r="B25" s="38" t="s">
        <v>13</v>
      </c>
      <c r="C25" s="38" t="s">
        <v>9</v>
      </c>
      <c r="D25" s="38" t="s">
        <v>6</v>
      </c>
      <c r="E25" s="65">
        <f>SUM('Приложение 3'!G127)</f>
        <v>100</v>
      </c>
      <c r="F25" s="65">
        <f>SUM('Приложение 3'!H127)</f>
        <v>0</v>
      </c>
      <c r="G25" s="65">
        <f t="shared" si="0"/>
        <v>0</v>
      </c>
    </row>
    <row r="26" spans="1:7" ht="35.25" customHeight="1" hidden="1">
      <c r="A26" s="52" t="s">
        <v>241</v>
      </c>
      <c r="B26" s="38" t="s">
        <v>13</v>
      </c>
      <c r="C26" s="38" t="s">
        <v>9</v>
      </c>
      <c r="D26" s="38" t="s">
        <v>12</v>
      </c>
      <c r="E26" s="65">
        <f>SUM('Приложение 3'!G126)</f>
        <v>0</v>
      </c>
      <c r="F26" s="65">
        <f>SUM('Приложение 3'!H126)</f>
        <v>0</v>
      </c>
      <c r="G26" s="65" t="e">
        <f t="shared" si="0"/>
        <v>#DIV/0!</v>
      </c>
    </row>
    <row r="27" spans="1:7" ht="38.25" customHeight="1">
      <c r="A27" s="48" t="str">
        <f>'Приложение 3'!A155</f>
        <v>Муниципальная программа "Охрана окружающей среды Алексеевского муниципального района на 2019-2023 годы"</v>
      </c>
      <c r="B27" s="66" t="s">
        <v>15</v>
      </c>
      <c r="C27" s="66" t="s">
        <v>9</v>
      </c>
      <c r="D27" s="66" t="s">
        <v>175</v>
      </c>
      <c r="E27" s="67">
        <f>SUM('Приложение 3'!G155)</f>
        <v>20</v>
      </c>
      <c r="F27" s="67">
        <f>SUM('Приложение 3'!H155)</f>
        <v>0</v>
      </c>
      <c r="G27" s="67">
        <f t="shared" si="0"/>
        <v>0</v>
      </c>
    </row>
    <row r="28" spans="1:7" ht="24">
      <c r="A28" s="52" t="s">
        <v>258</v>
      </c>
      <c r="B28" s="38" t="s">
        <v>15</v>
      </c>
      <c r="C28" s="38" t="s">
        <v>9</v>
      </c>
      <c r="D28" s="38" t="s">
        <v>2</v>
      </c>
      <c r="E28" s="65">
        <f>SUM('Приложение 3'!G155)</f>
        <v>20</v>
      </c>
      <c r="F28" s="65">
        <f>SUM('Приложение 3'!H155)</f>
        <v>0</v>
      </c>
      <c r="G28" s="65">
        <f t="shared" si="0"/>
        <v>0</v>
      </c>
    </row>
    <row r="29" spans="1:7" ht="36" hidden="1">
      <c r="A29" s="48" t="str">
        <f>'Приложение 3'!A252</f>
        <v>Муниципальная программа "Развитие культуры и искусства в Алексеевском муниципальном районе на 2021-2025 годы"</v>
      </c>
      <c r="B29" s="66" t="s">
        <v>309</v>
      </c>
      <c r="C29" s="66" t="s">
        <v>9</v>
      </c>
      <c r="D29" s="66" t="s">
        <v>175</v>
      </c>
      <c r="E29" s="67">
        <f>SUM('Приложение 3'!G252)</f>
        <v>0</v>
      </c>
      <c r="F29" s="67">
        <f>SUM('Приложение 3'!H252)</f>
        <v>0</v>
      </c>
      <c r="G29" s="65" t="e">
        <f t="shared" si="0"/>
        <v>#DIV/0!</v>
      </c>
    </row>
    <row r="30" spans="1:7" ht="72" hidden="1">
      <c r="A30" s="52" t="s">
        <v>311</v>
      </c>
      <c r="B30" s="38" t="s">
        <v>309</v>
      </c>
      <c r="C30" s="38" t="s">
        <v>9</v>
      </c>
      <c r="D30" s="38" t="s">
        <v>310</v>
      </c>
      <c r="E30" s="65">
        <f>SUM('Приложение 3'!G252)</f>
        <v>0</v>
      </c>
      <c r="F30" s="65">
        <f>SUM('Приложение 3'!H252)</f>
        <v>0</v>
      </c>
      <c r="G30" s="65" t="e">
        <f t="shared" si="0"/>
        <v>#DIV/0!</v>
      </c>
    </row>
    <row r="31" spans="1:7" ht="62.25" customHeight="1">
      <c r="A31" s="48" t="str">
        <f>'Приложение 3'!A228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31" s="66" t="s">
        <v>24</v>
      </c>
      <c r="C31" s="66" t="s">
        <v>9</v>
      </c>
      <c r="D31" s="66" t="s">
        <v>175</v>
      </c>
      <c r="E31" s="67">
        <f>SUM('Приложение 3'!G228)</f>
        <v>60</v>
      </c>
      <c r="F31" s="67">
        <f>SUM('Приложение 3'!H228)</f>
        <v>31.6</v>
      </c>
      <c r="G31" s="67">
        <f t="shared" si="0"/>
        <v>52.66666666666667</v>
      </c>
    </row>
    <row r="32" spans="1:7" ht="27.75" customHeight="1">
      <c r="A32" s="48" t="str">
        <f>'Приложение 3'!A229</f>
        <v>Подпрограмма "Комплексные меры по противодействию наркомании"</v>
      </c>
      <c r="B32" s="66" t="s">
        <v>24</v>
      </c>
      <c r="C32" s="66" t="s">
        <v>178</v>
      </c>
      <c r="D32" s="66" t="s">
        <v>175</v>
      </c>
      <c r="E32" s="67">
        <f>SUM('Приложение 3'!G229)</f>
        <v>20</v>
      </c>
      <c r="F32" s="67">
        <f>SUM('Приложение 3'!H229)</f>
        <v>1.6</v>
      </c>
      <c r="G32" s="67">
        <f t="shared" si="0"/>
        <v>8</v>
      </c>
    </row>
    <row r="33" spans="1:7" ht="37.5" customHeight="1">
      <c r="A33" s="52" t="s">
        <v>240</v>
      </c>
      <c r="B33" s="38" t="s">
        <v>24</v>
      </c>
      <c r="C33" s="38" t="s">
        <v>178</v>
      </c>
      <c r="D33" s="38" t="s">
        <v>2</v>
      </c>
      <c r="E33" s="65">
        <f>SUM('Приложение 3'!G230)</f>
        <v>20</v>
      </c>
      <c r="F33" s="65">
        <f>SUM('Приложение 3'!H230)</f>
        <v>1.6</v>
      </c>
      <c r="G33" s="65">
        <f t="shared" si="0"/>
        <v>8</v>
      </c>
    </row>
    <row r="34" spans="1:7" ht="29.25" customHeight="1" outlineLevel="1">
      <c r="A34" s="48" t="str">
        <f>'Приложение 3'!A231</f>
        <v>Подпрограмма "Реализация мероприятий молодежной политики и социальной адаптации молодежи "</v>
      </c>
      <c r="B34" s="66" t="s">
        <v>24</v>
      </c>
      <c r="C34" s="66" t="s">
        <v>179</v>
      </c>
      <c r="D34" s="66" t="s">
        <v>175</v>
      </c>
      <c r="E34" s="67">
        <f>SUM('Приложение 3'!G231)</f>
        <v>30</v>
      </c>
      <c r="F34" s="67">
        <f>SUM('Приложение 3'!H231)</f>
        <v>30</v>
      </c>
      <c r="G34" s="67">
        <f t="shared" si="0"/>
        <v>100</v>
      </c>
    </row>
    <row r="35" spans="1:7" ht="30" customHeight="1" outlineLevel="5">
      <c r="A35" s="52" t="s">
        <v>189</v>
      </c>
      <c r="B35" s="38" t="s">
        <v>24</v>
      </c>
      <c r="C35" s="38" t="s">
        <v>179</v>
      </c>
      <c r="D35" s="38" t="s">
        <v>2</v>
      </c>
      <c r="E35" s="65">
        <f>SUM('Приложение 3'!G232)</f>
        <v>30</v>
      </c>
      <c r="F35" s="65">
        <f>SUM('Приложение 3'!H232)</f>
        <v>30</v>
      </c>
      <c r="G35" s="65">
        <f t="shared" si="0"/>
        <v>100</v>
      </c>
    </row>
    <row r="36" spans="1:7" ht="42.75" customHeight="1" outlineLevel="5">
      <c r="A36" s="48" t="str">
        <f>'Приложение 3'!A233</f>
        <v>Подпрограмма " Профилактика безнадзорности, правонарушений и неблагополучия несовершеннолетних"</v>
      </c>
      <c r="B36" s="66" t="s">
        <v>24</v>
      </c>
      <c r="C36" s="66" t="s">
        <v>180</v>
      </c>
      <c r="D36" s="66" t="s">
        <v>175</v>
      </c>
      <c r="E36" s="67">
        <f>SUM('Приложение 3'!G233)</f>
        <v>10</v>
      </c>
      <c r="F36" s="67">
        <f>SUM('Приложение 3'!H233)</f>
        <v>0</v>
      </c>
      <c r="G36" s="67">
        <f t="shared" si="0"/>
        <v>0</v>
      </c>
    </row>
    <row r="37" spans="1:7" s="16" customFormat="1" ht="38.25" customHeight="1" outlineLevel="2">
      <c r="A37" s="52" t="s">
        <v>233</v>
      </c>
      <c r="B37" s="38" t="s">
        <v>24</v>
      </c>
      <c r="C37" s="39">
        <v>3</v>
      </c>
      <c r="D37" s="38" t="s">
        <v>2</v>
      </c>
      <c r="E37" s="65">
        <f>SUM('Приложение 3'!G234)</f>
        <v>10</v>
      </c>
      <c r="F37" s="65">
        <f>SUM('Приложение 3'!H234)</f>
        <v>0</v>
      </c>
      <c r="G37" s="65">
        <f t="shared" si="0"/>
        <v>0</v>
      </c>
    </row>
    <row r="38" spans="1:7" s="16" customFormat="1" ht="33.75" customHeight="1" hidden="1" outlineLevel="2">
      <c r="A38" s="52" t="s">
        <v>234</v>
      </c>
      <c r="B38" s="38" t="s">
        <v>24</v>
      </c>
      <c r="C38" s="39">
        <v>3</v>
      </c>
      <c r="D38" s="38" t="s">
        <v>6</v>
      </c>
      <c r="E38" s="65">
        <f>SUM('Приложение 3'!G235)</f>
        <v>0</v>
      </c>
      <c r="F38" s="65">
        <f>SUM('Приложение 3'!H235)</f>
        <v>0</v>
      </c>
      <c r="G38" s="65" t="e">
        <f t="shared" si="0"/>
        <v>#DIV/0!</v>
      </c>
    </row>
    <row r="39" spans="1:7" s="16" customFormat="1" ht="28.5" customHeight="1" hidden="1" outlineLevel="2">
      <c r="A39" s="52" t="s">
        <v>235</v>
      </c>
      <c r="B39" s="38" t="s">
        <v>24</v>
      </c>
      <c r="C39" s="39">
        <v>3</v>
      </c>
      <c r="D39" s="38" t="s">
        <v>12</v>
      </c>
      <c r="E39" s="65">
        <f>SUM('Приложение 3'!G236)</f>
        <v>0</v>
      </c>
      <c r="F39" s="65">
        <f>SUM('Приложение 3'!H236)</f>
        <v>0</v>
      </c>
      <c r="G39" s="65" t="e">
        <f t="shared" si="0"/>
        <v>#DIV/0!</v>
      </c>
    </row>
    <row r="40" spans="1:7" s="16" customFormat="1" ht="75" customHeight="1" hidden="1" outlineLevel="2">
      <c r="A40" s="48" t="str">
        <f>'Приложение 3'!A244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40" s="66" t="s">
        <v>203</v>
      </c>
      <c r="C40" s="66" t="s">
        <v>9</v>
      </c>
      <c r="D40" s="66" t="s">
        <v>175</v>
      </c>
      <c r="E40" s="67">
        <f>SUM('Приложение 3'!G244)</f>
        <v>0</v>
      </c>
      <c r="F40" s="67">
        <f>SUM('Приложение 3'!H244)</f>
        <v>0</v>
      </c>
      <c r="G40" s="65" t="e">
        <f t="shared" si="0"/>
        <v>#DIV/0!</v>
      </c>
    </row>
    <row r="41" spans="1:7" s="16" customFormat="1" ht="48" customHeight="1" hidden="1" outlineLevel="2">
      <c r="A41" s="52" t="s">
        <v>205</v>
      </c>
      <c r="B41" s="38" t="s">
        <v>203</v>
      </c>
      <c r="C41" s="39">
        <v>0</v>
      </c>
      <c r="D41" s="38" t="s">
        <v>2</v>
      </c>
      <c r="E41" s="65">
        <f>SUM('Приложение 3'!G245)</f>
        <v>0</v>
      </c>
      <c r="F41" s="65">
        <f>SUM('Приложение 3'!H245)</f>
        <v>0</v>
      </c>
      <c r="G41" s="65" t="e">
        <f t="shared" si="0"/>
        <v>#DIV/0!</v>
      </c>
    </row>
    <row r="42" spans="1:7" s="16" customFormat="1" ht="40.5" customHeight="1" outlineLevel="2">
      <c r="A42" s="48" t="str">
        <f>'Приложение 3'!A128</f>
        <v>Муниципальная программа "Градостроительная политика на территории Алексеевского муниципального района на 2022–2024 годы"</v>
      </c>
      <c r="B42" s="66" t="s">
        <v>262</v>
      </c>
      <c r="C42" s="68">
        <v>0</v>
      </c>
      <c r="D42" s="66" t="s">
        <v>175</v>
      </c>
      <c r="E42" s="67">
        <f>SUM('Приложение 3'!G128)</f>
        <v>8967.65512</v>
      </c>
      <c r="F42" s="67">
        <f>SUM('Приложение 3'!H128)</f>
        <v>412.38800000000003</v>
      </c>
      <c r="G42" s="67">
        <f t="shared" si="0"/>
        <v>4.59861574159199</v>
      </c>
    </row>
    <row r="43" spans="1:7" s="16" customFormat="1" ht="38.25" customHeight="1" outlineLevel="2">
      <c r="A43" s="52" t="s">
        <v>264</v>
      </c>
      <c r="B43" s="38" t="s">
        <v>262</v>
      </c>
      <c r="C43" s="39">
        <v>0</v>
      </c>
      <c r="D43" s="38" t="s">
        <v>2</v>
      </c>
      <c r="E43" s="65">
        <f>SUM('Приложение 3'!G129)</f>
        <v>570</v>
      </c>
      <c r="F43" s="65">
        <f>SUM('Приложение 3'!H129)</f>
        <v>182.388</v>
      </c>
      <c r="G43" s="65">
        <f t="shared" si="0"/>
        <v>31.99789473684211</v>
      </c>
    </row>
    <row r="44" spans="1:7" s="16" customFormat="1" ht="59.25" customHeight="1" outlineLevel="2">
      <c r="A44" s="52" t="s">
        <v>263</v>
      </c>
      <c r="B44" s="38" t="s">
        <v>262</v>
      </c>
      <c r="C44" s="39">
        <v>0</v>
      </c>
      <c r="D44" s="38" t="s">
        <v>6</v>
      </c>
      <c r="E44" s="65">
        <f>SUM('Приложение 3'!G130)</f>
        <v>230</v>
      </c>
      <c r="F44" s="65">
        <f>SUM('Приложение 3'!H130)</f>
        <v>230</v>
      </c>
      <c r="G44" s="65">
        <f t="shared" si="0"/>
        <v>100</v>
      </c>
    </row>
    <row r="45" spans="1:7" s="16" customFormat="1" ht="26.25" customHeight="1" outlineLevel="2">
      <c r="A45" s="52" t="s">
        <v>333</v>
      </c>
      <c r="B45" s="38" t="s">
        <v>262</v>
      </c>
      <c r="C45" s="39">
        <v>0</v>
      </c>
      <c r="D45" s="38" t="s">
        <v>12</v>
      </c>
      <c r="E45" s="65">
        <f>SUM('Приложение 3'!G131)</f>
        <v>8167.65512</v>
      </c>
      <c r="F45" s="65">
        <f>SUM('Приложение 3'!H133)</f>
        <v>0</v>
      </c>
      <c r="G45" s="65">
        <f t="shared" si="0"/>
        <v>0</v>
      </c>
    </row>
    <row r="46" spans="1:7" s="16" customFormat="1" ht="48" hidden="1" outlineLevel="2" collapsed="1">
      <c r="A46" s="48" t="str">
        <f>'Приложение 3'!A272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6" s="66" t="s">
        <v>315</v>
      </c>
      <c r="C46" s="66" t="s">
        <v>9</v>
      </c>
      <c r="D46" s="66" t="s">
        <v>175</v>
      </c>
      <c r="E46" s="67">
        <f>SUM('Приложение 3'!G272)</f>
        <v>0</v>
      </c>
      <c r="F46" s="67">
        <f>SUM('Приложение 3'!H272)</f>
        <v>0</v>
      </c>
      <c r="G46" s="65" t="e">
        <f t="shared" si="0"/>
        <v>#DIV/0!</v>
      </c>
    </row>
    <row r="47" spans="1:7" ht="36" hidden="1" outlineLevel="3">
      <c r="A47" s="47" t="s">
        <v>316</v>
      </c>
      <c r="B47" s="38" t="s">
        <v>315</v>
      </c>
      <c r="C47" s="38" t="s">
        <v>9</v>
      </c>
      <c r="D47" s="38" t="s">
        <v>2</v>
      </c>
      <c r="E47" s="65">
        <f>SUM('Приложение 3'!G273)</f>
        <v>0</v>
      </c>
      <c r="F47" s="65">
        <f>SUM('Приложение 3'!H273)</f>
        <v>0</v>
      </c>
      <c r="G47" s="65" t="e">
        <f t="shared" si="0"/>
        <v>#DIV/0!</v>
      </c>
    </row>
    <row r="48" spans="1:7" ht="35.25" customHeight="1">
      <c r="A48" s="48" t="str">
        <f>'Приложение 3'!A255</f>
        <v>Муниципальная программа "Развитие народных художественных промыслов Алексеевского муниципального района на 2019-2023 годы"</v>
      </c>
      <c r="B48" s="66" t="s">
        <v>5</v>
      </c>
      <c r="C48" s="66" t="s">
        <v>9</v>
      </c>
      <c r="D48" s="66" t="s">
        <v>175</v>
      </c>
      <c r="E48" s="67">
        <f>SUM('Приложение 3'!G255)</f>
        <v>20</v>
      </c>
      <c r="F48" s="67">
        <f>SUM('Приложение 3'!H255)</f>
        <v>6.6</v>
      </c>
      <c r="G48" s="67">
        <f t="shared" si="0"/>
        <v>32.99999999999999</v>
      </c>
    </row>
    <row r="49" spans="1:7" ht="36" customHeight="1">
      <c r="A49" s="52" t="s">
        <v>190</v>
      </c>
      <c r="B49" s="38" t="s">
        <v>5</v>
      </c>
      <c r="C49" s="38" t="s">
        <v>9</v>
      </c>
      <c r="D49" s="38" t="s">
        <v>2</v>
      </c>
      <c r="E49" s="65">
        <f>SUM('Приложение 3'!G256)</f>
        <v>20</v>
      </c>
      <c r="F49" s="65">
        <f>SUM('Приложение 3'!H256)</f>
        <v>6.6</v>
      </c>
      <c r="G49" s="65">
        <f t="shared" si="0"/>
        <v>32.99999999999999</v>
      </c>
    </row>
    <row r="50" spans="1:7" ht="39" customHeight="1">
      <c r="A50" s="48" t="str">
        <f>'Приложение 3'!A257</f>
        <v>Муниципальная программа "О поддержке деятельности казачьих обществ Алексеевского муниципального района на 2019-2023 годы"</v>
      </c>
      <c r="B50" s="38" t="s">
        <v>4</v>
      </c>
      <c r="C50" s="38" t="s">
        <v>9</v>
      </c>
      <c r="D50" s="38" t="s">
        <v>175</v>
      </c>
      <c r="E50" s="67">
        <f>SUM('Приложение 3'!G257)</f>
        <v>40</v>
      </c>
      <c r="F50" s="67">
        <f>SUM('Приложение 3'!H257)</f>
        <v>0</v>
      </c>
      <c r="G50" s="67">
        <f t="shared" si="0"/>
        <v>0</v>
      </c>
    </row>
    <row r="51" spans="1:7" ht="27" customHeight="1">
      <c r="A51" s="52" t="s">
        <v>191</v>
      </c>
      <c r="B51" s="38" t="s">
        <v>4</v>
      </c>
      <c r="C51" s="38">
        <f>'Приложение 3'!E324</f>
        <v>0</v>
      </c>
      <c r="D51" s="38" t="s">
        <v>2</v>
      </c>
      <c r="E51" s="65">
        <f>SUM('Приложение 3'!G258)</f>
        <v>40</v>
      </c>
      <c r="F51" s="65">
        <f>SUM('Приложение 3'!H258)</f>
        <v>0</v>
      </c>
      <c r="G51" s="65">
        <f t="shared" si="0"/>
        <v>0</v>
      </c>
    </row>
    <row r="52" spans="1:7" ht="74.25" customHeight="1">
      <c r="A52" s="48" t="str">
        <f>'Приложение 3'!A284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2" s="66" t="s">
        <v>7</v>
      </c>
      <c r="C52" s="66">
        <f>'Приложение 3'!E117</f>
        <v>0</v>
      </c>
      <c r="D52" s="66" t="s">
        <v>175</v>
      </c>
      <c r="E52" s="67">
        <f>SUM('Приложение 3'!G284)</f>
        <v>800</v>
      </c>
      <c r="F52" s="67">
        <f>SUM('Приложение 3'!H284)</f>
        <v>618.649</v>
      </c>
      <c r="G52" s="67">
        <f t="shared" si="0"/>
        <v>77.331125</v>
      </c>
    </row>
    <row r="53" spans="1:7" ht="72" customHeight="1">
      <c r="A53" s="52" t="s">
        <v>192</v>
      </c>
      <c r="B53" s="38" t="s">
        <v>7</v>
      </c>
      <c r="C53" s="38" t="s">
        <v>9</v>
      </c>
      <c r="D53" s="38" t="s">
        <v>2</v>
      </c>
      <c r="E53" s="65">
        <f>SUM('Приложение 3'!G285)</f>
        <v>800</v>
      </c>
      <c r="F53" s="65">
        <f>SUM('Приложение 3'!H285)</f>
        <v>618.649</v>
      </c>
      <c r="G53" s="65">
        <f t="shared" si="0"/>
        <v>77.331125</v>
      </c>
    </row>
    <row r="54" spans="1:7" ht="24" customHeight="1">
      <c r="A54" s="48" t="str">
        <f>'Приложение 3'!A68</f>
        <v>Муниципальная программа "Маршрут Победы на 2019-2023 годы"</v>
      </c>
      <c r="B54" s="66" t="s">
        <v>10</v>
      </c>
      <c r="C54" s="66" t="s">
        <v>9</v>
      </c>
      <c r="D54" s="66" t="s">
        <v>175</v>
      </c>
      <c r="E54" s="67">
        <f>SUM('Приложение 3'!G68)</f>
        <v>188</v>
      </c>
      <c r="F54" s="67">
        <f>SUM('Приложение 3'!H68)</f>
        <v>168.293</v>
      </c>
      <c r="G54" s="67">
        <f t="shared" si="0"/>
        <v>89.51755319148937</v>
      </c>
    </row>
    <row r="55" spans="1:7" ht="50.25" customHeight="1">
      <c r="A55" s="52" t="s">
        <v>323</v>
      </c>
      <c r="B55" s="38" t="s">
        <v>10</v>
      </c>
      <c r="C55" s="38" t="s">
        <v>9</v>
      </c>
      <c r="D55" s="38" t="s">
        <v>2</v>
      </c>
      <c r="E55" s="65">
        <f>SUM('Приложение 3'!G69)</f>
        <v>170</v>
      </c>
      <c r="F55" s="65">
        <f>SUM('Приложение 3'!H69)</f>
        <v>150.293</v>
      </c>
      <c r="G55" s="65">
        <f t="shared" si="0"/>
        <v>88.40764705882353</v>
      </c>
    </row>
    <row r="56" spans="1:7" ht="40.5" customHeight="1">
      <c r="A56" s="51" t="str">
        <f>'Приложение 3'!A323</f>
        <v>Муниципальная программа "Развитие физической культуры и спорта в Алексеевском муниципальном районе на 2019-2023 годы"</v>
      </c>
      <c r="B56" s="66" t="s">
        <v>18</v>
      </c>
      <c r="C56" s="66" t="s">
        <v>9</v>
      </c>
      <c r="D56" s="66" t="s">
        <v>175</v>
      </c>
      <c r="E56" s="67">
        <f>SUM(E57+E58+E59)</f>
        <v>400</v>
      </c>
      <c r="F56" s="67">
        <f>SUM(F57+F58+F59)</f>
        <v>364.864</v>
      </c>
      <c r="G56" s="67">
        <f t="shared" si="0"/>
        <v>91.216</v>
      </c>
    </row>
    <row r="57" spans="1:7" ht="48.75" customHeight="1">
      <c r="A57" s="52" t="s">
        <v>193</v>
      </c>
      <c r="B57" s="38" t="s">
        <v>18</v>
      </c>
      <c r="C57" s="38" t="s">
        <v>9</v>
      </c>
      <c r="D57" s="38" t="s">
        <v>2</v>
      </c>
      <c r="E57" s="65">
        <f>SUM('Приложение 3'!G324)</f>
        <v>400</v>
      </c>
      <c r="F57" s="65">
        <f>SUM('Приложение 3'!H324)</f>
        <v>364.864</v>
      </c>
      <c r="G57" s="65">
        <f t="shared" si="0"/>
        <v>91.216</v>
      </c>
    </row>
    <row r="58" spans="1:7" ht="39.75" customHeight="1">
      <c r="A58" s="52" t="s">
        <v>322</v>
      </c>
      <c r="B58" s="38" t="s">
        <v>18</v>
      </c>
      <c r="C58" s="38" t="s">
        <v>9</v>
      </c>
      <c r="D58" s="38" t="s">
        <v>12</v>
      </c>
      <c r="E58" s="65">
        <f>SUM('Приложение 3'!G319)</f>
        <v>0</v>
      </c>
      <c r="F58" s="65">
        <f>SUM('Приложение 3'!H319)</f>
        <v>0</v>
      </c>
      <c r="G58" s="65">
        <v>0</v>
      </c>
    </row>
    <row r="59" spans="1:7" ht="72" hidden="1">
      <c r="A59" s="52" t="s">
        <v>279</v>
      </c>
      <c r="B59" s="38" t="s">
        <v>18</v>
      </c>
      <c r="C59" s="38" t="s">
        <v>9</v>
      </c>
      <c r="D59" s="38" t="s">
        <v>278</v>
      </c>
      <c r="E59" s="65">
        <f>SUM('Приложение 3'!G192+'Приложение 3'!G193)</f>
        <v>0</v>
      </c>
      <c r="F59" s="65">
        <f>SUM('Приложение 3'!H192+'Приложение 3'!H193)</f>
        <v>0</v>
      </c>
      <c r="G59" s="65" t="e">
        <f t="shared" si="0"/>
        <v>#DIV/0!</v>
      </c>
    </row>
    <row r="60" spans="1:7" ht="51" customHeight="1">
      <c r="A60" s="51" t="str">
        <f>'Приложение 3'!A116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60" s="66" t="s">
        <v>147</v>
      </c>
      <c r="C60" s="66" t="s">
        <v>9</v>
      </c>
      <c r="D60" s="66" t="s">
        <v>175</v>
      </c>
      <c r="E60" s="67">
        <f>SUM('Приложение 3'!G116)</f>
        <v>31338.108079999998</v>
      </c>
      <c r="F60" s="67">
        <f>SUM('Приложение 3'!H116)</f>
        <v>7379.2577</v>
      </c>
      <c r="G60" s="67">
        <f t="shared" si="0"/>
        <v>23.547234189001497</v>
      </c>
    </row>
    <row r="61" spans="1:7" ht="39.75" customHeight="1">
      <c r="A61" s="52" t="s">
        <v>236</v>
      </c>
      <c r="B61" s="38" t="s">
        <v>147</v>
      </c>
      <c r="C61" s="38" t="s">
        <v>9</v>
      </c>
      <c r="D61" s="38" t="s">
        <v>2</v>
      </c>
      <c r="E61" s="65">
        <f>SUM('Приложение 3'!G116)</f>
        <v>31338.108079999998</v>
      </c>
      <c r="F61" s="65">
        <f>SUM('Приложение 3'!H116)</f>
        <v>7379.2577</v>
      </c>
      <c r="G61" s="65">
        <f t="shared" si="0"/>
        <v>23.547234189001497</v>
      </c>
    </row>
    <row r="62" spans="1:7" ht="54" customHeight="1">
      <c r="A62" s="51" t="str">
        <f>'Приложение 3'!A71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2" s="66" t="s">
        <v>149</v>
      </c>
      <c r="C62" s="66" t="s">
        <v>9</v>
      </c>
      <c r="D62" s="66" t="s">
        <v>175</v>
      </c>
      <c r="E62" s="67">
        <f>SUM(E63+E65)</f>
        <v>20</v>
      </c>
      <c r="F62" s="67">
        <f>SUM(F63+F65)</f>
        <v>0</v>
      </c>
      <c r="G62" s="67">
        <f t="shared" si="0"/>
        <v>0</v>
      </c>
    </row>
    <row r="63" spans="1:7" ht="18" customHeight="1">
      <c r="A63" s="51" t="str">
        <f>'Приложение 3'!A72</f>
        <v>Подпрограмма "Профилактика правонарушений"</v>
      </c>
      <c r="B63" s="66" t="s">
        <v>149</v>
      </c>
      <c r="C63" s="66" t="s">
        <v>178</v>
      </c>
      <c r="D63" s="66" t="s">
        <v>175</v>
      </c>
      <c r="E63" s="67">
        <f>SUM('Приложение 3'!G72)</f>
        <v>10</v>
      </c>
      <c r="F63" s="67">
        <f>SUM('Приложение 3'!H72)</f>
        <v>0</v>
      </c>
      <c r="G63" s="67">
        <f t="shared" si="0"/>
        <v>0</v>
      </c>
    </row>
    <row r="64" spans="1:7" ht="30.75" customHeight="1">
      <c r="A64" s="52" t="s">
        <v>265</v>
      </c>
      <c r="B64" s="38" t="s">
        <v>149</v>
      </c>
      <c r="C64" s="38" t="s">
        <v>178</v>
      </c>
      <c r="D64" s="38" t="s">
        <v>2</v>
      </c>
      <c r="E64" s="65">
        <f>SUM('Приложение 3'!G73)</f>
        <v>10</v>
      </c>
      <c r="F64" s="65">
        <f>SUM('Приложение 3'!H73)</f>
        <v>0</v>
      </c>
      <c r="G64" s="65">
        <f t="shared" si="0"/>
        <v>0</v>
      </c>
    </row>
    <row r="65" spans="1:7" ht="24.75" customHeight="1">
      <c r="A65" s="51" t="str">
        <f>'Приложение 3'!A74</f>
        <v>Подпрограмма "Формирование законопослушного поведения участников дорожного движения"</v>
      </c>
      <c r="B65" s="66" t="s">
        <v>149</v>
      </c>
      <c r="C65" s="66" t="s">
        <v>179</v>
      </c>
      <c r="D65" s="66" t="s">
        <v>175</v>
      </c>
      <c r="E65" s="67">
        <f>SUM('Приложение 3'!G74)</f>
        <v>10</v>
      </c>
      <c r="F65" s="67">
        <f>SUM('Приложение 3'!H74)</f>
        <v>0</v>
      </c>
      <c r="G65" s="67">
        <f t="shared" si="0"/>
        <v>0</v>
      </c>
    </row>
    <row r="66" spans="1:7" ht="33" customHeight="1">
      <c r="A66" s="52" t="s">
        <v>261</v>
      </c>
      <c r="B66" s="38" t="s">
        <v>149</v>
      </c>
      <c r="C66" s="38" t="s">
        <v>179</v>
      </c>
      <c r="D66" s="38" t="s">
        <v>2</v>
      </c>
      <c r="E66" s="65">
        <f>SUM('Приложение 3'!G75)</f>
        <v>10</v>
      </c>
      <c r="F66" s="65">
        <f>SUM('Приложение 3'!H75)</f>
        <v>0</v>
      </c>
      <c r="G66" s="65">
        <f t="shared" si="0"/>
        <v>0</v>
      </c>
    </row>
    <row r="67" spans="1:7" ht="39.75" customHeight="1" hidden="1">
      <c r="A67" s="51" t="str">
        <f>'Приложение 3'!A76</f>
        <v>Муниципальная программа "Улучшение условий и охраны труда в Алексеевском муниципальном районе на 2017-2019 годы"</v>
      </c>
      <c r="B67" s="66" t="s">
        <v>217</v>
      </c>
      <c r="C67" s="66" t="s">
        <v>9</v>
      </c>
      <c r="D67" s="66" t="s">
        <v>175</v>
      </c>
      <c r="E67" s="67">
        <f>SUM('Приложение 3'!G76)</f>
        <v>0</v>
      </c>
      <c r="F67" s="67">
        <f>SUM('Приложение 3'!H76)</f>
        <v>0</v>
      </c>
      <c r="G67" s="65" t="e">
        <f t="shared" si="0"/>
        <v>#DIV/0!</v>
      </c>
    </row>
    <row r="68" spans="1:7" ht="63.75" customHeight="1" hidden="1">
      <c r="A68" s="53" t="s">
        <v>216</v>
      </c>
      <c r="B68" s="38" t="s">
        <v>217</v>
      </c>
      <c r="C68" s="38" t="s">
        <v>9</v>
      </c>
      <c r="D68" s="38" t="s">
        <v>2</v>
      </c>
      <c r="E68" s="65">
        <f>SUM('Приложение 3'!G77)</f>
        <v>0</v>
      </c>
      <c r="F68" s="65">
        <f>SUM('Приложение 3'!H77)</f>
        <v>0</v>
      </c>
      <c r="G68" s="65" t="e">
        <f t="shared" si="0"/>
        <v>#DIV/0!</v>
      </c>
    </row>
    <row r="69" spans="1:7" ht="108" customHeight="1">
      <c r="A69" s="51" t="str">
        <f>'Приложение 3'!A166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69" s="66" t="s">
        <v>202</v>
      </c>
      <c r="C69" s="66" t="s">
        <v>9</v>
      </c>
      <c r="D69" s="66" t="s">
        <v>175</v>
      </c>
      <c r="E69" s="67">
        <f>SUM(E70:E73)</f>
        <v>1250.556</v>
      </c>
      <c r="F69" s="67">
        <f>SUM(F70:F73)</f>
        <v>422.30879000000004</v>
      </c>
      <c r="G69" s="67">
        <f t="shared" si="0"/>
        <v>33.76968244524836</v>
      </c>
    </row>
    <row r="70" spans="1:7" ht="73.5" customHeight="1">
      <c r="A70" s="52" t="s">
        <v>237</v>
      </c>
      <c r="B70" s="38" t="s">
        <v>202</v>
      </c>
      <c r="C70" s="38" t="s">
        <v>9</v>
      </c>
      <c r="D70" s="38" t="s">
        <v>2</v>
      </c>
      <c r="E70" s="65">
        <f>SUM('Приложение 3'!G167+'Приложение 3'!G194)-E71-E72-E73</f>
        <v>404.89735</v>
      </c>
      <c r="F70" s="65">
        <v>89.36925</v>
      </c>
      <c r="G70" s="65">
        <f t="shared" si="0"/>
        <v>22.072075798964846</v>
      </c>
    </row>
    <row r="71" spans="1:7" ht="62.25" customHeight="1">
      <c r="A71" s="52" t="s">
        <v>286</v>
      </c>
      <c r="B71" s="38" t="s">
        <v>202</v>
      </c>
      <c r="C71" s="38" t="s">
        <v>9</v>
      </c>
      <c r="D71" s="38" t="s">
        <v>6</v>
      </c>
      <c r="E71" s="65">
        <f>631.92+23.9568+165.6212</f>
        <v>821.498</v>
      </c>
      <c r="F71" s="65">
        <v>332.93954</v>
      </c>
      <c r="G71" s="65">
        <f t="shared" si="0"/>
        <v>40.52834456079017</v>
      </c>
    </row>
    <row r="72" spans="1:7" ht="14.25" customHeight="1">
      <c r="A72" s="52" t="s">
        <v>318</v>
      </c>
      <c r="B72" s="38" t="s">
        <v>202</v>
      </c>
      <c r="C72" s="38" t="s">
        <v>9</v>
      </c>
      <c r="D72" s="38" t="s">
        <v>12</v>
      </c>
      <c r="E72" s="65">
        <f>11.50968+1.15097</f>
        <v>12.66065</v>
      </c>
      <c r="F72" s="65">
        <v>0</v>
      </c>
      <c r="G72" s="65">
        <f t="shared" si="0"/>
        <v>0</v>
      </c>
    </row>
    <row r="73" spans="1:7" ht="14.25" customHeight="1">
      <c r="A73" s="52" t="s">
        <v>341</v>
      </c>
      <c r="B73" s="38" t="s">
        <v>202</v>
      </c>
      <c r="C73" s="38" t="s">
        <v>9</v>
      </c>
      <c r="D73" s="38" t="s">
        <v>12</v>
      </c>
      <c r="E73" s="65">
        <v>11.5</v>
      </c>
      <c r="F73" s="65">
        <v>0</v>
      </c>
      <c r="G73" s="65">
        <f>SUM(F73/E73)*100</f>
        <v>0</v>
      </c>
    </row>
    <row r="74" spans="1:7" ht="40.5" customHeight="1">
      <c r="A74" s="51" t="str">
        <f>'Приложение 3'!A78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4" s="66" t="s">
        <v>182</v>
      </c>
      <c r="C74" s="66">
        <f>'Приложение 3'!E135</f>
        <v>0</v>
      </c>
      <c r="D74" s="66" t="s">
        <v>175</v>
      </c>
      <c r="E74" s="67">
        <f>SUM('Приложение 3'!G78)</f>
        <v>10</v>
      </c>
      <c r="F74" s="67">
        <f>SUM('Приложение 3'!H78)</f>
        <v>0</v>
      </c>
      <c r="G74" s="67">
        <f>SUM(F74/E74)*100</f>
        <v>0</v>
      </c>
    </row>
    <row r="75" spans="1:7" ht="36">
      <c r="A75" s="52" t="s">
        <v>194</v>
      </c>
      <c r="B75" s="38" t="s">
        <v>182</v>
      </c>
      <c r="C75" s="38" t="s">
        <v>9</v>
      </c>
      <c r="D75" s="38" t="s">
        <v>2</v>
      </c>
      <c r="E75" s="65">
        <f>SUM('Приложение 3'!G79)</f>
        <v>10</v>
      </c>
      <c r="F75" s="65">
        <f>SUM('Приложение 3'!H79)</f>
        <v>0</v>
      </c>
      <c r="G75" s="65">
        <f>SUM(F75/E75)*100</f>
        <v>0</v>
      </c>
    </row>
    <row r="76" spans="1:7" ht="12.75">
      <c r="A76" s="47" t="s">
        <v>97</v>
      </c>
      <c r="B76" s="38"/>
      <c r="C76" s="39"/>
      <c r="D76" s="70"/>
      <c r="E76" s="67">
        <f>SUM(E9+E11+E23+E27+E31+E46+E48+E50+E52+E54+E56+E60+E62+E69+E74+E40+E67+E42+E29+E21)</f>
        <v>79063.18062999999</v>
      </c>
      <c r="F76" s="67">
        <f>SUM(F9+F11+F23+F27+F31+F46+F48+F50+F52+F54+F56+F60+F62+F69+F74+F40+F67+F42+F29+F21)</f>
        <v>24034.74566</v>
      </c>
      <c r="G76" s="67">
        <f>SUM(F76/E76)*100</f>
        <v>30.399416603890305</v>
      </c>
    </row>
    <row r="77" spans="4:5" ht="15">
      <c r="D77" s="17"/>
      <c r="E77" s="83"/>
    </row>
    <row r="78" ht="15">
      <c r="D78" s="17"/>
    </row>
    <row r="79" spans="1:7" s="14" customFormat="1" ht="15">
      <c r="A79" s="7"/>
      <c r="B79" s="12"/>
      <c r="C79" s="13"/>
      <c r="D79" s="17"/>
      <c r="E79" s="2"/>
      <c r="F79" s="2"/>
      <c r="G79" s="2"/>
    </row>
    <row r="80" spans="1:7" s="14" customFormat="1" ht="15">
      <c r="A80" s="7"/>
      <c r="B80" s="12"/>
      <c r="C80" s="13"/>
      <c r="D80" s="17"/>
      <c r="E80" s="2"/>
      <c r="F80" s="2"/>
      <c r="G80" s="2"/>
    </row>
    <row r="81" ht="15">
      <c r="D81" s="17"/>
    </row>
    <row r="82" ht="15">
      <c r="D82" s="17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4"/>
  <sheetViews>
    <sheetView showGridLines="0"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N39" sqref="N39"/>
    </sheetView>
  </sheetViews>
  <sheetFormatPr defaultColWidth="9.140625" defaultRowHeight="12.75" outlineLevelRow="5"/>
  <cols>
    <col min="1" max="1" width="49.57421875" style="7" customWidth="1"/>
    <col min="2" max="2" width="3.8515625" style="12" customWidth="1"/>
    <col min="3" max="3" width="3.8515625" style="13" customWidth="1"/>
    <col min="4" max="4" width="4.421875" style="11" customWidth="1"/>
    <col min="5" max="5" width="11.421875" style="2" customWidth="1"/>
    <col min="6" max="6" width="11.7109375" style="2" customWidth="1"/>
    <col min="7" max="7" width="10.8515625" style="2" bestFit="1" customWidth="1"/>
    <col min="8" max="16384" width="9.140625" style="2" customWidth="1"/>
  </cols>
  <sheetData>
    <row r="1" spans="3:7" ht="16.5">
      <c r="C1" s="111" t="s">
        <v>221</v>
      </c>
      <c r="D1" s="111"/>
      <c r="E1" s="111"/>
      <c r="F1" s="111"/>
      <c r="G1" s="111"/>
    </row>
    <row r="2" spans="3:7" ht="16.5">
      <c r="C2" s="111" t="s">
        <v>121</v>
      </c>
      <c r="D2" s="111"/>
      <c r="E2" s="111"/>
      <c r="F2" s="111"/>
      <c r="G2" s="111"/>
    </row>
    <row r="3" spans="3:7" ht="16.5">
      <c r="C3" s="111" t="s">
        <v>122</v>
      </c>
      <c r="D3" s="111"/>
      <c r="E3" s="111"/>
      <c r="F3" s="111"/>
      <c r="G3" s="111"/>
    </row>
    <row r="4" spans="1:7" ht="21.75" customHeight="1">
      <c r="A4" s="8"/>
      <c r="B4" s="1"/>
      <c r="C4" s="111" t="s">
        <v>150</v>
      </c>
      <c r="D4" s="111"/>
      <c r="E4" s="111"/>
      <c r="F4" s="111"/>
      <c r="G4" s="111"/>
    </row>
    <row r="5" spans="1:7" ht="39.75" customHeight="1">
      <c r="A5" s="117" t="s">
        <v>334</v>
      </c>
      <c r="B5" s="117"/>
      <c r="C5" s="117"/>
      <c r="D5" s="117"/>
      <c r="E5" s="117"/>
      <c r="F5" s="117"/>
      <c r="G5" s="117"/>
    </row>
    <row r="6" spans="1:4" ht="12.75" hidden="1">
      <c r="A6" s="31"/>
      <c r="B6" s="32"/>
      <c r="C6" s="33"/>
      <c r="D6" s="34"/>
    </row>
    <row r="7" spans="1:7" ht="12.75">
      <c r="A7" s="31"/>
      <c r="B7" s="32"/>
      <c r="C7" s="33"/>
      <c r="D7" s="34"/>
      <c r="E7" s="119"/>
      <c r="F7" s="119"/>
      <c r="G7" s="80" t="s">
        <v>283</v>
      </c>
    </row>
    <row r="8" spans="1:7" ht="81" customHeight="1">
      <c r="A8" s="37" t="s">
        <v>1</v>
      </c>
      <c r="B8" s="93" t="s">
        <v>343</v>
      </c>
      <c r="C8" s="84" t="s">
        <v>8</v>
      </c>
      <c r="D8" s="92" t="s">
        <v>165</v>
      </c>
      <c r="E8" s="35" t="s">
        <v>360</v>
      </c>
      <c r="F8" s="35" t="s">
        <v>349</v>
      </c>
      <c r="G8" s="35" t="s">
        <v>348</v>
      </c>
    </row>
    <row r="9" spans="1:7" ht="51" customHeight="1" outlineLevel="5">
      <c r="A9" s="48" t="str">
        <f>'Приложение 3'!A80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9" s="66" t="s">
        <v>14</v>
      </c>
      <c r="C9" s="66" t="s">
        <v>9</v>
      </c>
      <c r="D9" s="66"/>
      <c r="E9" s="67">
        <f>SUM(E10)</f>
        <v>43545</v>
      </c>
      <c r="F9" s="67">
        <f>SUM(F10)</f>
        <v>35802.64179</v>
      </c>
      <c r="G9" s="67">
        <f aca="true" t="shared" si="0" ref="G9:G34">SUM(F9/E9)*100</f>
        <v>82.21986861867035</v>
      </c>
    </row>
    <row r="10" spans="1:7" ht="24.75" customHeight="1" outlineLevel="2">
      <c r="A10" s="47" t="str">
        <f>'Приложение 3'!A81</f>
        <v>Предоставление субсидий бюджетным, автономным учреждениям и иным некоммерческим организациям</v>
      </c>
      <c r="B10" s="38" t="s">
        <v>14</v>
      </c>
      <c r="C10" s="38" t="s">
        <v>9</v>
      </c>
      <c r="D10" s="38" t="s">
        <v>172</v>
      </c>
      <c r="E10" s="65">
        <f>SUM('Приложение 3'!G80+'Приложение 3'!G143)</f>
        <v>43545</v>
      </c>
      <c r="F10" s="65">
        <f>SUM('Приложение 3'!H80+'Приложение 3'!H143)</f>
        <v>35802.64179</v>
      </c>
      <c r="G10" s="65">
        <f t="shared" si="0"/>
        <v>82.21986861867035</v>
      </c>
    </row>
    <row r="11" spans="1:7" ht="35.25" customHeight="1" outlineLevel="1">
      <c r="A11" s="48" t="str">
        <f>'Приложение 3'!A168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1" s="66" t="str">
        <f>'Приложение 3'!D168</f>
        <v>52</v>
      </c>
      <c r="C11" s="66">
        <f>'Приложение 3'!E168</f>
        <v>0</v>
      </c>
      <c r="D11" s="66"/>
      <c r="E11" s="67">
        <f>SUM(E12)</f>
        <v>24255.88</v>
      </c>
      <c r="F11" s="67">
        <f>SUM(F12)</f>
        <v>16649.184200000003</v>
      </c>
      <c r="G11" s="98">
        <f t="shared" si="0"/>
        <v>68.63978631160775</v>
      </c>
    </row>
    <row r="12" spans="1:7" ht="27.75" customHeight="1" outlineLevel="1">
      <c r="A12" s="47" t="str">
        <f>'Приложение 3'!A169</f>
        <v>Предоставление субсидий бюджетным, автономным учреждениям и иным некоммерческим организациям</v>
      </c>
      <c r="B12" s="38" t="str">
        <f>'Приложение 3'!D169</f>
        <v>52</v>
      </c>
      <c r="C12" s="38">
        <f>'Приложение 3'!E169</f>
        <v>0</v>
      </c>
      <c r="D12" s="38" t="s">
        <v>172</v>
      </c>
      <c r="E12" s="65">
        <f>SUM('Приложение 3'!G168)</f>
        <v>24255.88</v>
      </c>
      <c r="F12" s="65">
        <f>SUM('Приложение 3'!H168)</f>
        <v>16649.184200000003</v>
      </c>
      <c r="G12" s="65">
        <f t="shared" si="0"/>
        <v>68.63978631160775</v>
      </c>
    </row>
    <row r="13" spans="1:7" ht="36" outlineLevel="5">
      <c r="A13" s="48" t="str">
        <f>'Приложение 3'!A197</f>
        <v>Ведомственная целевая программа "Развитие образования детей на территории Алексеевского муниципального района на 2020-2022 годы"</v>
      </c>
      <c r="B13" s="66" t="str">
        <f>'Приложение 3'!D197</f>
        <v>53</v>
      </c>
      <c r="C13" s="66">
        <f>'Приложение 3'!E197</f>
        <v>0</v>
      </c>
      <c r="D13" s="66"/>
      <c r="E13" s="67">
        <f>SUM(E14+E16+E21)</f>
        <v>195800.35542999997</v>
      </c>
      <c r="F13" s="67">
        <f>SUM(F14+F16+F21)</f>
        <v>139032.39894999997</v>
      </c>
      <c r="G13" s="67">
        <f t="shared" si="0"/>
        <v>71.00722500971408</v>
      </c>
    </row>
    <row r="14" spans="1:7" ht="13.5" customHeight="1" outlineLevel="5">
      <c r="A14" s="48" t="str">
        <f>'Приложение 3'!A175</f>
        <v>Подпрограмма "Развитие дошкольного образования детей"</v>
      </c>
      <c r="B14" s="66" t="str">
        <f>'Приложение 3'!D198</f>
        <v>53</v>
      </c>
      <c r="C14" s="66" t="s">
        <v>178</v>
      </c>
      <c r="D14" s="66"/>
      <c r="E14" s="67">
        <f>SUM(E15)</f>
        <v>13679.399999999998</v>
      </c>
      <c r="F14" s="67">
        <f>SUM(F15)</f>
        <v>8186.38275</v>
      </c>
      <c r="G14" s="67">
        <f t="shared" si="0"/>
        <v>59.84460392999694</v>
      </c>
    </row>
    <row r="15" spans="1:7" ht="24" outlineLevel="5">
      <c r="A15" s="47" t="str">
        <f>'Приложение 3'!A178</f>
        <v>Предоставление субсидий бюджетным, автономным учреждениям и иным некоммерческим организациям</v>
      </c>
      <c r="B15" s="38" t="s">
        <v>20</v>
      </c>
      <c r="C15" s="38" t="s">
        <v>178</v>
      </c>
      <c r="D15" s="38" t="s">
        <v>9</v>
      </c>
      <c r="E15" s="65">
        <f>SUM('Приложение 3'!G174)</f>
        <v>13679.399999999998</v>
      </c>
      <c r="F15" s="65">
        <f>SUM('Приложение 3'!H174)</f>
        <v>8186.38275</v>
      </c>
      <c r="G15" s="65">
        <f t="shared" si="0"/>
        <v>59.84460392999694</v>
      </c>
    </row>
    <row r="16" spans="1:7" ht="15" customHeight="1" outlineLevel="5">
      <c r="A16" s="48" t="str">
        <f>'Приложение 3'!A198</f>
        <v>Подпрограмма "Развитие общего образования детей"</v>
      </c>
      <c r="B16" s="66" t="s">
        <v>20</v>
      </c>
      <c r="C16" s="66" t="s">
        <v>179</v>
      </c>
      <c r="D16" s="66"/>
      <c r="E16" s="67">
        <f>SUM(E17:E20)</f>
        <v>171820.95542999997</v>
      </c>
      <c r="F16" s="67">
        <f>SUM(F17:F20)</f>
        <v>123904.61554999999</v>
      </c>
      <c r="G16" s="67">
        <f t="shared" si="0"/>
        <v>72.11263331641689</v>
      </c>
    </row>
    <row r="17" spans="1:7" ht="49.5" customHeight="1" outlineLevel="5">
      <c r="A17" s="47" t="str">
        <f>'Приложение 3'!A200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38" t="s">
        <v>20</v>
      </c>
      <c r="C17" s="38" t="s">
        <v>179</v>
      </c>
      <c r="D17" s="38" t="s">
        <v>170</v>
      </c>
      <c r="E17" s="65">
        <f>SUM('Приложение 3'!G200+'Приложение 3'!G207+'Приложение 3'!G208+'Приложение 3'!G209)</f>
        <v>5055.7</v>
      </c>
      <c r="F17" s="65">
        <f>SUM('Приложение 3'!H200+'Приложение 3'!H207+'Приложение 3'!H208+'Приложение 3'!H209)</f>
        <v>3502.17607</v>
      </c>
      <c r="G17" s="65">
        <f t="shared" si="0"/>
        <v>69.27183317839271</v>
      </c>
    </row>
    <row r="18" spans="1:7" ht="26.25" customHeight="1" outlineLevel="5">
      <c r="A18" s="47" t="str">
        <f>'Приложение 3'!A201</f>
        <v>Закупка товаров, работ и услуг для государственных (муниципальных) нужд</v>
      </c>
      <c r="B18" s="38" t="s">
        <v>20</v>
      </c>
      <c r="C18" s="38" t="s">
        <v>179</v>
      </c>
      <c r="D18" s="38" t="s">
        <v>148</v>
      </c>
      <c r="E18" s="65">
        <f>SUM('Приложение 3'!G201+'Приложение 3'!G210+'Приложение 3'!G211+'Приложение 3'!G212+'Приложение 3'!G202)</f>
        <v>779.0840000000001</v>
      </c>
      <c r="F18" s="65">
        <f>SUM('Приложение 3'!H201+'Приложение 3'!H210+'Приложение 3'!H211+'Приложение 3'!H212+'Приложение 3'!H202)</f>
        <v>281.12995</v>
      </c>
      <c r="G18" s="65">
        <f t="shared" si="0"/>
        <v>36.084677647082984</v>
      </c>
    </row>
    <row r="19" spans="1:7" ht="12.75" customHeight="1" outlineLevel="5">
      <c r="A19" s="47" t="str">
        <f>'Приложение 3'!A203</f>
        <v>Иные бюджетные ассигнования</v>
      </c>
      <c r="B19" s="38" t="s">
        <v>20</v>
      </c>
      <c r="C19" s="38" t="s">
        <v>179</v>
      </c>
      <c r="D19" s="38" t="s">
        <v>171</v>
      </c>
      <c r="E19" s="65">
        <f>SUM('Приложение 3'!G203)</f>
        <v>35</v>
      </c>
      <c r="F19" s="65">
        <f>SUM('Приложение 3'!H203)</f>
        <v>20.12663</v>
      </c>
      <c r="G19" s="65">
        <f t="shared" si="0"/>
        <v>57.50465714285714</v>
      </c>
    </row>
    <row r="20" spans="1:7" ht="26.25" customHeight="1" outlineLevel="5">
      <c r="A20" s="47" t="str">
        <f>'Приложение 3'!A204</f>
        <v>Предоставление субсидий бюджетным, автономным учреждениям и иным некоммерческим организациям</v>
      </c>
      <c r="B20" s="38" t="s">
        <v>20</v>
      </c>
      <c r="C20" s="38" t="s">
        <v>179</v>
      </c>
      <c r="D20" s="38" t="s">
        <v>172</v>
      </c>
      <c r="E20" s="65">
        <f>SUM('Приложение 3'!G204+'Приложение 3'!G214+'Приложение 3'!G215+'Приложение 3'!G217+'Приложение 3'!G218+'Приложение 3'!G216+'Приложение 3'!G213+'Приложение 3'!G205)</f>
        <v>165951.17143</v>
      </c>
      <c r="F20" s="65">
        <f>SUM('Приложение 3'!H204+'Приложение 3'!H214+'Приложение 3'!H215+'Приложение 3'!H217+'Приложение 3'!H218+'Приложение 3'!H216+'Приложение 3'!H213+'Приложение 3'!H205)</f>
        <v>120101.18289999999</v>
      </c>
      <c r="G20" s="65">
        <f t="shared" si="0"/>
        <v>72.37139808359832</v>
      </c>
    </row>
    <row r="21" spans="1:7" ht="18.75" customHeight="1" outlineLevel="3">
      <c r="A21" s="48" t="str">
        <f>'Приложение 3'!A224</f>
        <v>Подпрограмма "Развитие дополнительного образования детей"</v>
      </c>
      <c r="B21" s="66" t="str">
        <f>'Приложение 3'!D223</f>
        <v>53</v>
      </c>
      <c r="C21" s="66" t="s">
        <v>180</v>
      </c>
      <c r="D21" s="66"/>
      <c r="E21" s="67">
        <f>SUM(E22:E23)</f>
        <v>10300</v>
      </c>
      <c r="F21" s="67">
        <f>SUM(F22:F23)</f>
        <v>6941.40065</v>
      </c>
      <c r="G21" s="67">
        <f t="shared" si="0"/>
        <v>67.39223932038834</v>
      </c>
    </row>
    <row r="22" spans="1:7" ht="24.75" customHeight="1" outlineLevel="3">
      <c r="A22" s="47" t="str">
        <f>'Приложение 3'!A225</f>
        <v>Предоставление субсидий бюджетным, автономным учреждениям и иным некоммерческим организациям (ДШИ)</v>
      </c>
      <c r="B22" s="38" t="str">
        <f>'Приложение 3'!D225</f>
        <v>53</v>
      </c>
      <c r="C22" s="38">
        <f>'Приложение 3'!E225</f>
        <v>3</v>
      </c>
      <c r="D22" s="41">
        <f>'Приложение 3'!F225</f>
        <v>600</v>
      </c>
      <c r="E22" s="65">
        <f>'Приложение 3'!G225</f>
        <v>6000</v>
      </c>
      <c r="F22" s="65">
        <f>'Приложение 3'!H225</f>
        <v>3692.68015</v>
      </c>
      <c r="G22" s="65">
        <f t="shared" si="0"/>
        <v>61.544669166666665</v>
      </c>
    </row>
    <row r="23" spans="1:7" ht="23.25" customHeight="1" outlineLevel="3">
      <c r="A23" s="47" t="str">
        <f>'Приложение 3'!A226</f>
        <v>Предоставление субсидий бюджетным, автономным учреждениям и иным некоммерческим организациям (ДЮСШ)</v>
      </c>
      <c r="B23" s="38" t="str">
        <f>'Приложение 3'!D226</f>
        <v>53</v>
      </c>
      <c r="C23" s="38">
        <f>'Приложение 3'!E226</f>
        <v>3</v>
      </c>
      <c r="D23" s="41">
        <f>'Приложение 3'!F226</f>
        <v>600</v>
      </c>
      <c r="E23" s="65">
        <f>'Приложение 3'!G226</f>
        <v>4300</v>
      </c>
      <c r="F23" s="65">
        <f>'Приложение 3'!H226</f>
        <v>3248.7205</v>
      </c>
      <c r="G23" s="65">
        <f t="shared" si="0"/>
        <v>75.55163953488372</v>
      </c>
    </row>
    <row r="24" spans="1:7" ht="36" outlineLevel="3">
      <c r="A24" s="49" t="str">
        <f>'Приложение 3'!A237</f>
        <v>Ведомственная целевая программа "Молодежная политика на территории Алексеевского муниципального района на 2022-2024 годы" (СДЦ)</v>
      </c>
      <c r="B24" s="66" t="str">
        <f>'Приложение 3'!D237</f>
        <v>56</v>
      </c>
      <c r="C24" s="66">
        <f>'Приложение 3'!E237</f>
        <v>0</v>
      </c>
      <c r="D24" s="66"/>
      <c r="E24" s="67">
        <f>SUM(E25)</f>
        <v>5100</v>
      </c>
      <c r="F24" s="67">
        <f>SUM(F25)</f>
        <v>3004.77096</v>
      </c>
      <c r="G24" s="67">
        <f t="shared" si="0"/>
        <v>58.917077647058825</v>
      </c>
    </row>
    <row r="25" spans="1:7" ht="24" outlineLevel="3">
      <c r="A25" s="46" t="str">
        <f>'Приложение 3'!A238</f>
        <v>Предоставление субсидий бюджетным, автономным учреждениям и иным некоммерческим организациям</v>
      </c>
      <c r="B25" s="38" t="str">
        <f>'Приложение 3'!D238</f>
        <v>56</v>
      </c>
      <c r="C25" s="38">
        <f>'Приложение 3'!E238</f>
        <v>0</v>
      </c>
      <c r="D25" s="38">
        <f>'Приложение 3'!F238</f>
        <v>600</v>
      </c>
      <c r="E25" s="65">
        <f>SUM('Приложение 3'!G237)</f>
        <v>5100</v>
      </c>
      <c r="F25" s="65">
        <f>SUM('Приложение 3'!H237)</f>
        <v>3004.77096</v>
      </c>
      <c r="G25" s="65">
        <f t="shared" si="0"/>
        <v>58.917077647058825</v>
      </c>
    </row>
    <row r="26" spans="1:7" ht="48" outlineLevel="3">
      <c r="A26" s="49" t="str">
        <f>'Приложение 3'!A246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6" s="66" t="str">
        <f>'Приложение 3'!D246</f>
        <v>58</v>
      </c>
      <c r="C26" s="66">
        <f>'Приложение 3'!E246</f>
        <v>0</v>
      </c>
      <c r="D26" s="66"/>
      <c r="E26" s="67">
        <f>SUM(E27:E29)</f>
        <v>1295</v>
      </c>
      <c r="F26" s="67">
        <f>SUM(F27:F29)</f>
        <v>1017.54986</v>
      </c>
      <c r="G26" s="67">
        <f t="shared" si="0"/>
        <v>78.57527876447877</v>
      </c>
    </row>
    <row r="27" spans="1:7" ht="48" outlineLevel="3">
      <c r="A27" s="46" t="str">
        <f>'Приложение 3'!A247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38" t="s">
        <v>22</v>
      </c>
      <c r="C27" s="38" t="s">
        <v>9</v>
      </c>
      <c r="D27" s="38" t="s">
        <v>170</v>
      </c>
      <c r="E27" s="65">
        <f>SUM('Приложение 3'!G247)</f>
        <v>1240.2</v>
      </c>
      <c r="F27" s="65">
        <f>SUM('Приложение 3'!H247)</f>
        <v>1017.54986</v>
      </c>
      <c r="G27" s="65">
        <f t="shared" si="0"/>
        <v>82.04723915497499</v>
      </c>
    </row>
    <row r="28" spans="1:7" ht="24" outlineLevel="3">
      <c r="A28" s="46" t="str">
        <f>'Приложение 3'!A248</f>
        <v>Закупка товаров, работ и услуг для государственных (муниципальных) нужд</v>
      </c>
      <c r="B28" s="38" t="s">
        <v>22</v>
      </c>
      <c r="C28" s="38" t="s">
        <v>9</v>
      </c>
      <c r="D28" s="38" t="s">
        <v>148</v>
      </c>
      <c r="E28" s="65">
        <f>SUM('Приложение 3'!G248)</f>
        <v>54.8</v>
      </c>
      <c r="F28" s="65">
        <f>SUM('Приложение 3'!H248)</f>
        <v>0</v>
      </c>
      <c r="G28" s="65">
        <f t="shared" si="0"/>
        <v>0</v>
      </c>
    </row>
    <row r="29" spans="1:7" ht="12.75" outlineLevel="3">
      <c r="A29" s="46" t="str">
        <f>'Приложение 3'!A249</f>
        <v>Иные бюджетные ассигнования</v>
      </c>
      <c r="B29" s="38" t="s">
        <v>22</v>
      </c>
      <c r="C29" s="38" t="s">
        <v>9</v>
      </c>
      <c r="D29" s="38" t="s">
        <v>171</v>
      </c>
      <c r="E29" s="65">
        <f>SUM('Приложение 3'!G249)</f>
        <v>0</v>
      </c>
      <c r="F29" s="65">
        <f>SUM('Приложение 3'!H249)</f>
        <v>0</v>
      </c>
      <c r="G29" s="65">
        <v>0</v>
      </c>
    </row>
    <row r="30" spans="1:7" ht="36" outlineLevel="5">
      <c r="A30" s="49" t="str">
        <f>'Приложение 3'!A261</f>
        <v>Ведомственная целевая программа "Развитие культуры и искусства в Алексеевском муниципальном районе на 2022-2024 годы"</v>
      </c>
      <c r="B30" s="66" t="str">
        <f>'Приложение 3'!D261</f>
        <v>59</v>
      </c>
      <c r="C30" s="66">
        <f>'Приложение 3'!E261</f>
        <v>0</v>
      </c>
      <c r="D30" s="66"/>
      <c r="E30" s="67">
        <f>SUM(E31)</f>
        <v>12365</v>
      </c>
      <c r="F30" s="67">
        <f>SUM(F31)</f>
        <v>8755.88826</v>
      </c>
      <c r="G30" s="67">
        <f t="shared" si="0"/>
        <v>70.811874322685</v>
      </c>
    </row>
    <row r="31" spans="1:7" ht="24" outlineLevel="5">
      <c r="A31" s="46" t="str">
        <f>'Приложение 3'!A263</f>
        <v>Предоставление субсидий бюджетным, автономным учреждениям и иным некоммерческим организациям</v>
      </c>
      <c r="B31" s="38" t="s">
        <v>23</v>
      </c>
      <c r="C31" s="38" t="s">
        <v>9</v>
      </c>
      <c r="D31" s="38" t="s">
        <v>172</v>
      </c>
      <c r="E31" s="65">
        <f>SUM('Приложение 3'!G261)</f>
        <v>12365</v>
      </c>
      <c r="F31" s="65">
        <f>SUM('Приложение 3'!H261)</f>
        <v>8755.88826</v>
      </c>
      <c r="G31" s="65">
        <f t="shared" si="0"/>
        <v>70.811874322685</v>
      </c>
    </row>
    <row r="32" spans="1:7" ht="36">
      <c r="A32" s="48" t="str">
        <f>'Приложение 3'!A327</f>
        <v>Ведомственная целевая программа "Поддержка средств массовой информации в Алексеевском муниципальном районе на 2022-2024 годы"</v>
      </c>
      <c r="B32" s="66" t="str">
        <f>'Приложение 3'!D327</f>
        <v>61</v>
      </c>
      <c r="C32" s="66">
        <f>'Приложение 3'!E327</f>
        <v>0</v>
      </c>
      <c r="D32" s="66"/>
      <c r="E32" s="67">
        <f>SUM(E33)</f>
        <v>2182.9</v>
      </c>
      <c r="F32" s="67">
        <f>SUM(F33)</f>
        <v>1917.9</v>
      </c>
      <c r="G32" s="67">
        <f t="shared" si="0"/>
        <v>87.86018599111274</v>
      </c>
    </row>
    <row r="33" spans="1:7" ht="24">
      <c r="A33" s="47" t="str">
        <f>'Приложение 3'!A328</f>
        <v>Предоставление субсидий бюджетным, автономным учреждениям и иным некоммерческим организациям</v>
      </c>
      <c r="B33" s="38" t="str">
        <f>'Приложение 3'!D328</f>
        <v>61</v>
      </c>
      <c r="C33" s="38">
        <f>'Приложение 3'!E328</f>
        <v>0</v>
      </c>
      <c r="D33" s="38">
        <f>'Приложение 3'!F328</f>
        <v>600</v>
      </c>
      <c r="E33" s="65">
        <f>'Приложение 3'!G327</f>
        <v>2182.9</v>
      </c>
      <c r="F33" s="65">
        <f>'Приложение 3'!H327</f>
        <v>1917.9</v>
      </c>
      <c r="G33" s="65">
        <f t="shared" si="0"/>
        <v>87.86018599111274</v>
      </c>
    </row>
    <row r="34" spans="1:7" ht="12.75">
      <c r="A34" s="48" t="s">
        <v>97</v>
      </c>
      <c r="B34" s="66"/>
      <c r="C34" s="68"/>
      <c r="D34" s="69"/>
      <c r="E34" s="67">
        <f>SUM(E9+E11+E13+E24+E26+E30+E32)</f>
        <v>284544.13543</v>
      </c>
      <c r="F34" s="67">
        <f>SUM(F9+F11+F13+F24+F26+F30+F32)</f>
        <v>206180.33401999998</v>
      </c>
      <c r="G34" s="67">
        <f t="shared" si="0"/>
        <v>72.45987822185211</v>
      </c>
    </row>
    <row r="35" ht="15">
      <c r="D35" s="17"/>
    </row>
    <row r="36" ht="15">
      <c r="D36" s="17"/>
    </row>
    <row r="37" ht="15">
      <c r="D37" s="17"/>
    </row>
    <row r="38" ht="15">
      <c r="D38" s="17"/>
    </row>
    <row r="39" ht="15">
      <c r="D39" s="17"/>
    </row>
    <row r="40" ht="15">
      <c r="D40" s="17"/>
    </row>
    <row r="41" ht="15">
      <c r="D41" s="17"/>
    </row>
    <row r="42" ht="15">
      <c r="D42" s="17"/>
    </row>
    <row r="43" spans="1:7" s="14" customFormat="1" ht="15">
      <c r="A43" s="7"/>
      <c r="B43" s="12"/>
      <c r="C43" s="13"/>
      <c r="D43" s="17"/>
      <c r="E43" s="2"/>
      <c r="F43" s="2"/>
      <c r="G43" s="2"/>
    </row>
    <row r="44" spans="1:7" s="14" customFormat="1" ht="15">
      <c r="A44" s="7"/>
      <c r="B44" s="12"/>
      <c r="C44" s="13"/>
      <c r="D44" s="17"/>
      <c r="E44" s="2"/>
      <c r="F44" s="2"/>
      <c r="G44" s="2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Владимировна Деткова</cp:lastModifiedBy>
  <cp:lastPrinted>2022-10-10T10:14:13Z</cp:lastPrinted>
  <dcterms:created xsi:type="dcterms:W3CDTF">2002-03-11T10:22:12Z</dcterms:created>
  <dcterms:modified xsi:type="dcterms:W3CDTF">2022-10-10T10:14:16Z</dcterms:modified>
  <cp:category/>
  <cp:version/>
  <cp:contentType/>
  <cp:contentStatus/>
</cp:coreProperties>
</file>