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25" yWindow="65431" windowWidth="16965" windowHeight="12690" firstSheet="1" activeTab="1"/>
  </bookViews>
  <sheets>
    <sheet name="Приложение 2" sheetId="1" state="hidden" r:id="rId1"/>
    <sheet name="Приложение " sheetId="2" r:id="rId2"/>
    <sheet name="Таблица №6" sheetId="3" state="hidden" r:id="rId3"/>
    <sheet name="Таблица №10" sheetId="4" state="hidden" r:id="rId4"/>
    <sheet name="Таблица №11" sheetId="5" state="hidden" r:id="rId5"/>
  </sheets>
  <externalReferences>
    <externalReference r:id="rId8"/>
  </externalReferences>
  <definedNames>
    <definedName name="APPT" localSheetId="0">'Приложение 2'!#REF!</definedName>
    <definedName name="APPT" localSheetId="3">'Таблица №10'!#REF!</definedName>
    <definedName name="APPT" localSheetId="4">'Таблица №11'!#REF!</definedName>
    <definedName name="APPT" localSheetId="2">'Таблица №6'!#REF!</definedName>
    <definedName name="FIO" localSheetId="0">'Приложение 2'!#REF!</definedName>
    <definedName name="FIO" localSheetId="3">'Таблица №10'!#REF!</definedName>
    <definedName name="FIO" localSheetId="4">'Таблица №11'!#REF!</definedName>
    <definedName name="FIO" localSheetId="2">'Таблица №6'!#REF!</definedName>
    <definedName name="SIGN" localSheetId="0">'Приложение 2'!$A$22:$E$23</definedName>
    <definedName name="SIGN" localSheetId="3">'Таблица №10'!#REF!</definedName>
    <definedName name="SIGN" localSheetId="4">'Таблица №11'!#REF!</definedName>
    <definedName name="SIGN" localSheetId="2">'Таблица №6'!#REF!</definedName>
    <definedName name="_xlnm.Print_Area" localSheetId="3">'Таблица №10'!$A$1:$G$74</definedName>
  </definedNames>
  <calcPr fullCalcOnLoad="1"/>
</workbook>
</file>

<file path=xl/sharedStrings.xml><?xml version="1.0" encoding="utf-8"?>
<sst xmlns="http://schemas.openxmlformats.org/spreadsheetml/2006/main" count="1773" uniqueCount="360">
  <si>
    <t/>
  </si>
  <si>
    <t>Наименование кода</t>
  </si>
  <si>
    <t>01</t>
  </si>
  <si>
    <t>Центральный аппарат</t>
  </si>
  <si>
    <t>13</t>
  </si>
  <si>
    <t>12</t>
  </si>
  <si>
    <t>02</t>
  </si>
  <si>
    <t>14</t>
  </si>
  <si>
    <t>Подпрограмма</t>
  </si>
  <si>
    <t>0</t>
  </si>
  <si>
    <t>15</t>
  </si>
  <si>
    <t>90</t>
  </si>
  <si>
    <t>03</t>
  </si>
  <si>
    <t>04</t>
  </si>
  <si>
    <t>51</t>
  </si>
  <si>
    <t>05</t>
  </si>
  <si>
    <t>99</t>
  </si>
  <si>
    <t>Мероприятия по обеспечению мобилизационной готовности экономики</t>
  </si>
  <si>
    <t>17</t>
  </si>
  <si>
    <t>52</t>
  </si>
  <si>
    <t>53</t>
  </si>
  <si>
    <t>56</t>
  </si>
  <si>
    <t>58</t>
  </si>
  <si>
    <t>59</t>
  </si>
  <si>
    <t>07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</si>
  <si>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</si>
  <si>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Алексеевская районная Дума</t>
  </si>
  <si>
    <t>901</t>
  </si>
  <si>
    <t>0103</t>
  </si>
  <si>
    <t>0113</t>
  </si>
  <si>
    <t>931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</si>
  <si>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</si>
  <si>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</si>
  <si>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</si>
  <si>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</si>
  <si>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</si>
  <si>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проведения выборов и референдумов</t>
  </si>
  <si>
    <t>Проведение выборов и референдумов</t>
  </si>
  <si>
    <t>Резервные фонды</t>
  </si>
  <si>
    <t>902</t>
  </si>
  <si>
    <t>0104</t>
  </si>
  <si>
    <t>0100</t>
  </si>
  <si>
    <t>0102</t>
  </si>
  <si>
    <t>0105</t>
  </si>
  <si>
    <t>0107</t>
  </si>
  <si>
    <t>0111</t>
  </si>
  <si>
    <t>Другие общегосударственные вопросы</t>
  </si>
  <si>
    <t>Условно утвержденные расходы</t>
  </si>
  <si>
    <t xml:space="preserve">Национальная оборона </t>
  </si>
  <si>
    <t>Мобилизационная подготовка экономики</t>
  </si>
  <si>
    <t>0204</t>
  </si>
  <si>
    <t>0309</t>
  </si>
  <si>
    <t>0409</t>
  </si>
  <si>
    <t>0412</t>
  </si>
  <si>
    <t>Коммунальное хозяйство</t>
  </si>
  <si>
    <t>Жилищно-коммунальное хозяйство</t>
  </si>
  <si>
    <t>0500</t>
  </si>
  <si>
    <t>0502</t>
  </si>
  <si>
    <t>Охрана окружающей среды</t>
  </si>
  <si>
    <t>0400</t>
  </si>
  <si>
    <t>0605</t>
  </si>
  <si>
    <t>Образование</t>
  </si>
  <si>
    <t>Дошкольное образование</t>
  </si>
  <si>
    <t>0701</t>
  </si>
  <si>
    <t>0700</t>
  </si>
  <si>
    <t>0702</t>
  </si>
  <si>
    <t>Школы-детские сады, школы начальные, неполные средние и средние</t>
  </si>
  <si>
    <t>За счет средств областного бюджета на образовательный процесс</t>
  </si>
  <si>
    <t>За счет средств областного бюджета на питание</t>
  </si>
  <si>
    <t>За счет средств бюджета муниципального района</t>
  </si>
  <si>
    <t>Общее образование</t>
  </si>
  <si>
    <t>0707</t>
  </si>
  <si>
    <t>Другие вопросы в области образования</t>
  </si>
  <si>
    <t>0709</t>
  </si>
  <si>
    <t xml:space="preserve">Культура, кинематография </t>
  </si>
  <si>
    <t>Дворцы и дома культуры, другие учреждения культуры</t>
  </si>
  <si>
    <t>Музей</t>
  </si>
  <si>
    <t>Библиотеки</t>
  </si>
  <si>
    <t>Кинематография</t>
  </si>
  <si>
    <t xml:space="preserve">Другие вопросы в области культуры, кинематографии </t>
  </si>
  <si>
    <t>0801</t>
  </si>
  <si>
    <t>0802</t>
  </si>
  <si>
    <t>0804</t>
  </si>
  <si>
    <t>Социальная политика</t>
  </si>
  <si>
    <t>Пенсионное обеспечение</t>
  </si>
  <si>
    <t>Доплаты к пенсии государственных служащих субъектов Российской Федерации и муниципальных служащих</t>
  </si>
  <si>
    <t>1001</t>
  </si>
  <si>
    <t>Социальное обеспечение населения</t>
  </si>
  <si>
    <t>Охрана семьи и детства</t>
  </si>
  <si>
    <t>1003</t>
  </si>
  <si>
    <t>1004</t>
  </si>
  <si>
    <t>Физическая культура и спорт</t>
  </si>
  <si>
    <t>1105</t>
  </si>
  <si>
    <t xml:space="preserve">Средства массовой информации </t>
  </si>
  <si>
    <t>1202</t>
  </si>
  <si>
    <t>1301</t>
  </si>
  <si>
    <t xml:space="preserve">Всего 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</si>
  <si>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</si>
  <si>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</si>
  <si>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</si>
  <si>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Непрограммные направления обеспечения деятельности органов местного самоуправления Алексеевского муниципального района</t>
  </si>
  <si>
    <t>За счет субвенции на организационное обеспечение деятельности территориальных административных комиссий</t>
  </si>
  <si>
    <t>За счет субвенции на организацию и осуществление деятельности по опеке и попечительству</t>
  </si>
  <si>
    <t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</si>
  <si>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</si>
  <si>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t>
  </si>
  <si>
    <t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t>
  </si>
  <si>
    <t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t>
  </si>
  <si>
    <t>на выплату пособий по опеке и попечительству</t>
  </si>
  <si>
    <t xml:space="preserve">на вознаграждение за труд, причитающегося приемным родителям (патронатному воспитателю), и предоставление им мер социальной поддержки </t>
  </si>
  <si>
    <t>0200</t>
  </si>
  <si>
    <t>0300</t>
  </si>
  <si>
    <t>0600</t>
  </si>
  <si>
    <t>0800</t>
  </si>
  <si>
    <t>Культура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</si>
  <si>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</si>
  <si>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</si>
  <si>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</si>
  <si>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</si>
  <si>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Таблица №8</t>
  </si>
  <si>
    <t xml:space="preserve"> приложения №1 Решения</t>
  </si>
  <si>
    <t xml:space="preserve"> Алексеевской  районной Думы</t>
  </si>
  <si>
    <t xml:space="preserve">                                                                                                      </t>
  </si>
  <si>
    <t>Код</t>
  </si>
  <si>
    <t>Наименование</t>
  </si>
  <si>
    <t>Общегосударственные вопросы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</si>
  <si>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</si>
  <si>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Национальная оборона</t>
  </si>
  <si>
    <t>Жилищно – коммунальное хозяйство</t>
  </si>
  <si>
    <t>0503</t>
  </si>
  <si>
    <t>Благоустройство</t>
  </si>
  <si>
    <t>Культура, кинематография</t>
  </si>
  <si>
    <t>1100</t>
  </si>
  <si>
    <t>1200</t>
  </si>
  <si>
    <t>1300</t>
  </si>
  <si>
    <t>Итого</t>
  </si>
  <si>
    <t>61</t>
  </si>
  <si>
    <t>к приложению № 1 Решения</t>
  </si>
  <si>
    <t>Алексеевской районной Думы</t>
  </si>
  <si>
    <t>Иные бюджетные ассигнования</t>
  </si>
  <si>
    <t>Сельское хозяйство и рыболовство</t>
  </si>
  <si>
    <t>0405</t>
  </si>
  <si>
    <t>000</t>
  </si>
  <si>
    <t>За счет средств областного бюджета на осуществление образовательного процесса муниципальными дошкольными образовательными организациями</t>
  </si>
  <si>
    <t>18</t>
  </si>
  <si>
    <t>200</t>
  </si>
  <si>
    <t>20</t>
  </si>
  <si>
    <t>от "__"_____________№________</t>
  </si>
  <si>
    <t>от "__"_______________№________</t>
  </si>
  <si>
    <t>Группа вида рас-ходов</t>
  </si>
  <si>
    <t>Непрограммные расходы органов местного самоуправления Алексеевского муниципального района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</si>
  <si>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</si>
  <si>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</si>
  <si>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</si>
  <si>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Капитальные вложения в объекты государственной (муниципальной) собственности</t>
  </si>
  <si>
    <t>За счет средств на расходы на осуществление социальных гарантий молодым специалистам</t>
  </si>
  <si>
    <t xml:space="preserve">За счет средств областного бюджета </t>
  </si>
  <si>
    <t>Подпрограмма "Комплексные меры по противодействию наркомании"</t>
  </si>
  <si>
    <t>Подпрограмма "Реализация мероприятий молодежной политики и социальной адаптации молодежи "</t>
  </si>
  <si>
    <t>Организация отдыха детей в лагерях дневного пребывания</t>
  </si>
  <si>
    <t>Субсидия на организацию отдыха детей в каникулярный период в лагерях дневного пребывания на базе муниципальных образовательных организаций</t>
  </si>
  <si>
    <t>1000</t>
  </si>
  <si>
    <t>Группа вида расходов</t>
  </si>
  <si>
    <t>1400</t>
  </si>
  <si>
    <t>Прочие межбюджетные трансферты общего характера</t>
  </si>
  <si>
    <t>1403</t>
  </si>
  <si>
    <t>100</t>
  </si>
  <si>
    <t>800</t>
  </si>
  <si>
    <t>600</t>
  </si>
  <si>
    <t>Основное мероприятие</t>
  </si>
  <si>
    <t xml:space="preserve">Программа </t>
  </si>
  <si>
    <t>00</t>
  </si>
  <si>
    <t>Ведомство</t>
  </si>
  <si>
    <t>Раздел</t>
  </si>
  <si>
    <t>1</t>
  </si>
  <si>
    <t>2</t>
  </si>
  <si>
    <t>3</t>
  </si>
  <si>
    <t>Основное мероприятие "Развитие муниципальной службы"</t>
  </si>
  <si>
    <t>23</t>
  </si>
  <si>
    <t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t>
  </si>
  <si>
    <t>Подпрограмма "Энергосбережение и повышение энергетической эффективности Алексеевского муниципального района"</t>
  </si>
  <si>
    <t>Основное мероприятие "Мероприятия в области жилищно- коммунального хозяйства"</t>
  </si>
  <si>
    <t>4</t>
  </si>
  <si>
    <t>Основное мероприятие "Нормативно-правовое обеспечение и развитие инфраструктуры поддержки субъектов малого предпринимательства"</t>
  </si>
  <si>
    <t>Основное мероприятие "Финансовая поддержка субъектов малого предпринимательства в виде субсидирования"</t>
  </si>
  <si>
    <t>Основное мероприятие "Мероприятия молодежной политики и социальной адаптации молодежи"</t>
  </si>
  <si>
    <t>Основное мероприятие "Обеспечение благоприятных условий для расширения производства изделий народных художественных промыслов в Алексеевском районе"</t>
  </si>
  <si>
    <t>Основное мероприятие "Мероприятия в области развития и возрождения казачества"</t>
  </si>
  <si>
    <t>Основное мероприятие "Предоставление субсидии из бюджета муниципального образования на погашение процентных платежей по кредиту, полученному в кредитной организации на строительство (приобретение) жилья, а также в возмещении части арендной платы за жилье молодым специалистам, работающим в Алексеевском муниципальном районе"</t>
  </si>
  <si>
    <t>Основное мероприятие "Развитие физической культуры и спорта среди дошкольных, общеобразовательных учреждений и взрослого населения на территории Алексеевского муниципального района "</t>
  </si>
  <si>
    <t>Основное мероприятие "Повышение эффективности работы по предупреждению проявления экстремизма и терроризма"</t>
  </si>
  <si>
    <t>Телевидение и радиовещание</t>
  </si>
  <si>
    <t>1201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</si>
  <si>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</si>
  <si>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t>
  </si>
  <si>
    <t>Основное мероприятие "Мероприятия по ремонту объектов муниципальной собственности"</t>
  </si>
  <si>
    <t>Подпрограмма «Строительство, реконструкция и ремонт объектов муниципальной собственности Алексеевского муниципального района»</t>
  </si>
  <si>
    <t>Подпрограмма "Строительство, реконструкция и ремонт объектов муниципальной собственности Алексеевского муниципального района"</t>
  </si>
  <si>
    <t>22</t>
  </si>
  <si>
    <t>08</t>
  </si>
  <si>
    <t>300</t>
  </si>
  <si>
    <t>Основное мероприятие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"</t>
  </si>
  <si>
    <t>Дополнительное образование детей</t>
  </si>
  <si>
    <t>0703</t>
  </si>
  <si>
    <t>Основное мероприятие "Мероприятия в области строительства, реконструкции объектов муниципальной собственности"</t>
  </si>
  <si>
    <t>Здравоохранение</t>
  </si>
  <si>
    <t>0900</t>
  </si>
  <si>
    <t>Амбулаторная помощь</t>
  </si>
  <si>
    <t>0902</t>
  </si>
  <si>
    <t>1101</t>
  </si>
  <si>
    <t>Другие вопросы в области физической культуры и спорта</t>
  </si>
  <si>
    <t>Основное мероприятие "Мероприятия по подготовке к отопительному сезону объектов социальной сферы"</t>
  </si>
  <si>
    <t>Основное мероприятие "Информирование, консультирование и оказание правовой помощи работникам и работодателям по вопросам охраны труда, пропаганда и популяризация мер по охране труда"</t>
  </si>
  <si>
    <t>21</t>
  </si>
  <si>
    <t>Муниципальная программа "Улучшение условий и охраны труда в Алексеевском муниципальном районе на 2017-2019 годы"</t>
  </si>
  <si>
    <t>Муниципальная программа и непрограммное направление</t>
  </si>
  <si>
    <t>1006</t>
  </si>
  <si>
    <t>Другие вопросы в области социальной политики</t>
  </si>
  <si>
    <t>За счет субвенции на создание, исполнение функций и обеспечение деятельности муниципальных комиссий по делам несовершеннолетних и защите их прав</t>
  </si>
  <si>
    <t>Реализация государственных функций, связанных с общегосударственным управлением</t>
  </si>
  <si>
    <t>Оценка недвижимости, признание прав и регулирование отношений по муниципальной собственности</t>
  </si>
  <si>
    <t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t>
  </si>
  <si>
    <t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t>
  </si>
  <si>
    <t>Подпрограмма " Профилактика безнадзорности, правонарушений и неблагополучия несовершеннолетних"</t>
  </si>
  <si>
    <t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t>
  </si>
  <si>
    <t>Государственная регистрация актов гражданского состояния</t>
  </si>
  <si>
    <t>Основное мероприятие " Мероприятия, направленные на профилактику безнадзорности и правонарушений несовершеннолетних"</t>
  </si>
  <si>
    <t>Основное мероприятие "Мероприятия по строительству, реконструкции, ремонту и проектированию автомобильных дорог общего пользования местного значения"</t>
  </si>
  <si>
    <t>Основное мероприятие "Проведении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общеобразовательных организаций и дошкольных образовательных организаций Алексеевского муниципального района "</t>
  </si>
  <si>
    <t>Администрация Алексеевского муниципального района</t>
  </si>
  <si>
    <t>Основное мероприятие "Профилактические мероприятия, направленные на борьбу с наркоманией и распространением наркотиков"</t>
  </si>
  <si>
    <t>Основное мероприятие "Финансовая поддержка молодежи, имеющей способности к ведению предпринимательской деятельности в виде денежных грантов"</t>
  </si>
  <si>
    <t xml:space="preserve"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t>
  </si>
  <si>
    <t>Муниципальная программа "Охрана окружающей среды Алексеевского муниципального района на 2019-2023 годы"</t>
  </si>
  <si>
    <t>Муниципальная программа "Развитие физической культуры и спорта в Алексеевском муниципальном районе на 2019-2023 годы"</t>
  </si>
  <si>
    <t>Муниципальная программа "Маршрут Победы на 2019-2023 годы"</t>
  </si>
  <si>
    <t>Муниципальная программа "Развитие и поддержка малого предпринимательства Алексеевского муниципального района на 2019-2023 годы "</t>
  </si>
  <si>
    <t>Муниципальная программа "О поддержке деятельности казачьих обществ Алексеевского муниципального района на 2019-2023 годы"</t>
  </si>
  <si>
    <t>Муниципальная программа "Развитие муниципальной службы в администрации Алексеевского муниципального района Волгоградской области на 2019-2023 годы"</t>
  </si>
  <si>
    <t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t>
  </si>
  <si>
    <t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t>
  </si>
  <si>
    <t>Муниципальная программа "Профилактика терроризма и экстремизма на территории Алексеевского муниципального района на 2019-2023 годы"</t>
  </si>
  <si>
    <t>Муниципальная программа "Молодой семье – доступное жилье на территории Алексеевского муниципального района на 2019-2020 годы"</t>
  </si>
  <si>
    <t>11</t>
  </si>
  <si>
    <t>Муниципальная программа "Инвестиционная программа по жилищно-коммунальному хозяйству Алексеевского муниципального района на 2019-2021 годы"</t>
  </si>
  <si>
    <t>Муниципальная программа "Развитие народных художественных промыслов Алексеевского муниципального района на 2019-2023 годы"</t>
  </si>
  <si>
    <t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t>
  </si>
  <si>
    <t>Основное мероприятие "Строительство контейнерных площадок для сбора твердых коммунальных отходов"</t>
  </si>
  <si>
    <t>Подпрограмма "Профилактика правонарушений"</t>
  </si>
  <si>
    <t>Подпрограмма "Формирование законопослушного поведения участников дорожного движения"</t>
  </si>
  <si>
    <t>Основное мероприятие "Проведение работ по обеспечению безопасности дорожного движения в границах Алексеевского муниципального района"</t>
  </si>
  <si>
    <t>09</t>
  </si>
  <si>
    <t>Основное мероприятие "Описание границ населённых пунктов Алексеевского муниципального района и границы поселении в координатах характерных точек, внесение сведений о границах в государственный кадастр недвижимости путем передачи полномочий из муниципального района сельским поселениям "</t>
  </si>
  <si>
    <t>Основное мероприятие "Мероприятия в области строительства, архитектуры, градостроения, землеустройства и землепользования "</t>
  </si>
  <si>
    <t>Основное мероприятие "Мероприятия общепрофилактической направленности"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</si>
  <si>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</si>
  <si>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>Межбюджетные трансферты за счет средств субсидии на реализацию мероприятий в сфере дорожной деятельности</t>
  </si>
  <si>
    <t>400</t>
  </si>
  <si>
    <t>1102</t>
  </si>
  <si>
    <t>Массовый спорт</t>
  </si>
  <si>
    <t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t>
  </si>
  <si>
    <t>Муниципальная программа "Комплексное развитие сельских территорий"</t>
  </si>
  <si>
    <t>Капитальные вложения в объекты государственной (муниципальной) собственности (софинансирование)</t>
  </si>
  <si>
    <t xml:space="preserve">Физическая культура </t>
  </si>
  <si>
    <t>Основное мероприятие "Приобретение и замена осветительных приборов, а также выполнение необходимых для этого работ в зданиях муниципальных образовательных организаций"</t>
  </si>
  <si>
    <t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t>
  </si>
  <si>
    <t>Е2</t>
  </si>
  <si>
    <t xml:space="preserve">Основное мероприятие "Региональный проект "Создание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годы. (Ремонт спортивного зала в МБОУ Рябовская СШ Алексеевского района Волгоградской области в 2020 году)" </t>
  </si>
  <si>
    <t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</si>
  <si>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</si>
  <si>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t>
  </si>
  <si>
    <t>тыс. рублей </t>
  </si>
  <si>
    <t>Основное мероприятие "Повышение уровня финансовой грамотности обучающихся 4 – 11 классов по программе, разработанной Минфином «Содействие повышению уровня финансовой грамотности населению и развитию финансового образования в Российской Федерации 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</si>
  <si>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</si>
  <si>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Контрольно-счетная комиссия Алексеевского муниципального района</t>
  </si>
  <si>
    <t>Предоставление субсидий бюджетным, автономным учреждениям и иным некоммерческим организациям (мероприятия по обеспечению персонифицированного финансирования)</t>
  </si>
  <si>
    <t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t>
  </si>
  <si>
    <t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</si>
  <si>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</si>
  <si>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t>
  </si>
  <si>
    <t>2023 год</t>
  </si>
  <si>
    <t>Подпрограмма "Развитие дошкольного образования детей"</t>
  </si>
  <si>
    <t>Подпрограмма "Развитие общего образования детей"</t>
  </si>
  <si>
    <t>Подпрограмма "Развитие дополнительного образования детей"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</si>
  <si>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</si>
  <si>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</si>
  <si>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Гражданская оборона</t>
  </si>
  <si>
    <t xml:space="preserve">Молодежная политика </t>
  </si>
  <si>
    <t>Субсидия местным бюджетам на дооснащение действующих объектов физической кудьтуры и спорта оборудованием для лиц с ограниченными возможностями здоровья</t>
  </si>
  <si>
    <t xml:space="preserve">Субсидия на реализацию мероприятий в сфере дорожной деятельности </t>
  </si>
  <si>
    <t>Закупка товаров, работ и услуг для государственных (муниципальных) нужд (софинансирование мероприятий в сфере дорожной деятельности)</t>
  </si>
  <si>
    <t>Предоставление субсидий бюджетным, автономным учреждениям и иным некоммерческим организациям (ДЮСШ)</t>
  </si>
  <si>
    <t>Предоставление субсидий бюджетным, автономным учреждениям и иным некоммерческим организациям (ДШИ)</t>
  </si>
  <si>
    <t>Предоставление субсидий бюджетным, автономным учреждениям и иным некоммерческим организациям (реализация мероприятий по организации бесплатного горячего питания обучающихся, получающих начальное общее образование)</t>
  </si>
  <si>
    <t>Предоставление субсидий бюджетным, автономным учреждениям и иным некоммерческим организациям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</si>
  <si>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>Основное мероприятие "Приобретение и монтаж оборудования для доочистки воды"</t>
  </si>
  <si>
    <t>10</t>
  </si>
  <si>
    <t>Основное мероприятие "Увековечение памяти погибших при защите Отечества на 2019-2024 годы на территории Алексеевского муниципального района"</t>
  </si>
  <si>
    <t>Межбюджетные трансферты за счет средств субсидии на приобретение и монтаж оборудования для доочистки воды (с учетом софинансирования)</t>
  </si>
  <si>
    <t>Основное мероприятие "Опорная школа"</t>
  </si>
  <si>
    <t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t>
  </si>
  <si>
    <t>Осуществление полномочий по подготовке и проведению Всероссийской переписи населения 2020 года на 2021 год</t>
  </si>
  <si>
    <t>Межбюджетные трансферты за счет средств субсидии на благоустройство и ремонт памятников, обелисков и воинских захоронений</t>
  </si>
  <si>
    <t xml:space="preserve">Основное мероприятие "Дооснащение действующих объектов физической культуры и спорта оборудованием для лиц с ограниченными возможностями здоровья" </t>
  </si>
  <si>
    <t>Основное мероприятие "Реализация мероприятий по поддержке участников и ветеранов боевых действий, ветеранов военной службы, семей погибших, ветеранов труда, инвалидов, детей-инвалидов"</t>
  </si>
  <si>
    <t>Ведомственная целевая программа "Поддержка средств массовой информации в Алексеевском муниципальном районе на 2022-2024 годы"</t>
  </si>
  <si>
    <t>Муниципальная программа "Градостроительная политика на территории Алексеевского муниципального района на 2022–2024 годы"</t>
  </si>
  <si>
    <t>Муниципальная программа "Инвестиционная программа по жилищно-коммунальному хозяйству Алексеевского муниципального района на 2022-2024 годы"</t>
  </si>
  <si>
    <t>Ведомственная целевая программа "Развитие дошкольного образования детей на территории Алексеевского муниципального района на 2022-2024 годы"</t>
  </si>
  <si>
    <t>Ведомственная целевая программа "Молодежная политика на территории Алексеевского муниципального района на 2022-2024 годы" (СДЦ)</t>
  </si>
  <si>
    <t xml:space="preserve"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2022-2024 годы" </t>
  </si>
  <si>
    <t>Ведомственная целевая программа "Развитие культуры и искусства в Алексеевском муниципальном районе на 2022-2024 годы"</t>
  </si>
  <si>
    <t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t>
  </si>
  <si>
    <t>Другие вопросы в области охраны окружающей среды</t>
  </si>
  <si>
    <t xml:space="preserve">Обслуживание государственного (муниципального) внутреннего долга </t>
  </si>
  <si>
    <t>Основное мероприятие "Тютерство"</t>
  </si>
  <si>
    <t>Субвенция на финансовое обеспечение отдельных государственных полномочий Волгоградской области по обеспечению жилыми помещениями детей-сирот и детей, оставшихся без попечения родителей</t>
  </si>
  <si>
    <t>Ведом ствен ная целе вая про грам ма</t>
  </si>
  <si>
    <t>Межбюджетные трансферты (за счет субсидии из областного бюджета бюджетам муниципальных образований Волгоградской области на содержание объектов благоустройства)</t>
  </si>
  <si>
    <t>Резервный фонд Администрации Волгоградской области</t>
  </si>
  <si>
    <t>Таблица №11</t>
  </si>
  <si>
    <t>Закупка товаров, работ и услуг для государственных (муниципальных) нужд (Субвенция на осуществление органами местного самоуправления Волгоградской области государственных полномочий 
по контролю за проведением поисковой работы на территории Волгоградской области )</t>
  </si>
  <si>
    <t>Основное мероприятие " Мероприятия по контролю за проведением поисковой работы"</t>
  </si>
  <si>
    <t>Закупка товаров, работ и услуг для государственных (муниципальных) нужд за счет субсидий на реализацию проектов комплексного развития сельских территорий</t>
  </si>
  <si>
    <t>Закупка товаров, работ и услуг для государственных (муниципальных) нужд (софинансирование)</t>
  </si>
  <si>
    <t>Основное мероприятие "Обеспечение комплексного развития сельских территорий"</t>
  </si>
  <si>
    <t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2023-2028 годы "</t>
  </si>
  <si>
    <t>Проведение  кадастровых работ в отношении земельных участков</t>
  </si>
  <si>
    <t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t>
  </si>
  <si>
    <t>Субвенции бюджетам муниципальных районов и городских округов Волгоградской области на осуществление органами местного самоуправления Волгоградской области государственных полномочий  по увековечению памяти погибших при защите Отечества на территории Волгоградской области на 2023 год и на плановый период                                                2024 и 2025 годов</t>
  </si>
  <si>
    <t>Периодическая печать и издательства</t>
  </si>
  <si>
    <t>Обслуживание государственного (муниципального долга)</t>
  </si>
  <si>
    <t xml:space="preserve">Межбюджетные трансферты общего характера бюджетам бюджетной системы Российской Федерации </t>
  </si>
  <si>
    <t>Межбюджетные трансферты общего характера бюджетам бюджетной системы Российской Федерации</t>
  </si>
  <si>
    <t>Обслуживание государственного (муниципального) долга</t>
  </si>
  <si>
    <t>Муниципальная программа "Развитие образования детей на территории Алексеевского муниципального района на 2023-2025 годы"</t>
  </si>
  <si>
    <t>Содержание на территории муниципального района межпоселенческих мест захоронения, организация ритуальных услуг</t>
  </si>
  <si>
    <t>Основное мероприятие "Благоустройство сельских территорий"</t>
  </si>
  <si>
    <t>Таблица №10</t>
  </si>
  <si>
    <t>Предоставление субсидий бюджетным, автономным учреждениям и иным некоммерческим организациям (Школа детского инициативного бюджетирования)</t>
  </si>
  <si>
    <t>Предоставление субсидий бюджетным, автономным учреждениям и иным некоммерческим организациям (Школа детского инициативного бюджетирования софинансирование)</t>
  </si>
  <si>
    <t>Основное мероприятие "Проведение  комплексных кадастровых работ"</t>
  </si>
  <si>
    <t>Закупка товаров, работ и услуг для государственных (муниципальных) нужд (Субсидии бюджетам муниципальных образований Волгоградской области на проведение комплексных кадастровых работ)</t>
  </si>
  <si>
    <t>За счет субвенции на осуществление государственных полномочий Волгоградской области по хранению, комплектованию, учету и использованию архивных документов и архивных фондов, отнесенных к составу архивного фонда Волгоградской области</t>
  </si>
  <si>
    <t>Предоставление субсидий бюджетным, автономным учреждениям и иным некоммерческим организациям (на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организациях)</t>
  </si>
  <si>
    <t>Субсидия из областного бюджета бюджетам муниципальных образований Волгоградской области на реализацию мероприятий по модернизации школьных систем образования</t>
  </si>
  <si>
    <t>% исполнения</t>
  </si>
  <si>
    <t>Исполнено на 01.10.2023 г</t>
  </si>
  <si>
    <t xml:space="preserve">Распределение бюджетных ассигнований по разделам, подразделам, целевым статьям и видам расходов бюджета в составе ведомственной структуры расходов районного бюджета на 2023 год </t>
  </si>
  <si>
    <t>Распределение бюджетных ассигнований по разделам и подразделам, целевым статьям и видам расходов районного бюджета на 2023 год</t>
  </si>
  <si>
    <t>Распределение бюджетных ассигнований по разделам и по подразделам классификации расходов районного бюджета на 2023 год</t>
  </si>
  <si>
    <t xml:space="preserve">Распределение бюджетных ассигнований на реализацию муниципальных программ на 2023 год </t>
  </si>
  <si>
    <t xml:space="preserve">Распределение бюджетных ассигнований на реализацию ведомственных целевых программ на 2023 год </t>
  </si>
  <si>
    <t>Приложение №3</t>
  </si>
  <si>
    <t>УТВЕРЖДЕНО:</t>
  </si>
  <si>
    <t xml:space="preserve">постановлением  главы </t>
  </si>
  <si>
    <t>Алексеевского муниципального района</t>
  </si>
  <si>
    <t>от "__"__________2023 г.№________</t>
  </si>
  <si>
    <t>Приложение №2</t>
  </si>
  <si>
    <t xml:space="preserve">постановлением  администрации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</si>
</sst>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.0"/>
    <numFmt numFmtId="174" formatCode="0.00000"/>
    <numFmt numFmtId="175" formatCode="0.0000"/>
    <numFmt numFmtId="176" formatCode="0.000"/>
    <numFmt numFmtId="177" formatCode="#,##0.0_р_."/>
    <numFmt numFmtId="178" formatCode="#,##0.0"/>
    <numFmt numFmtId="179" formatCode="000"/>
    <numFmt numFmtId="180" formatCode="0.000000"/>
    <numFmt numFmtId="181" formatCode="#,##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/mm/yyyy\ hh:mm"/>
    <numFmt numFmtId="187" formatCode="?"/>
    <numFmt numFmtId="188" formatCode="#,##0.00000"/>
    <numFmt numFmtId="189" formatCode="#,##0.000000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4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13"/>
      <name val="Arial"/>
      <family val="2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" fontId="3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 horizontal="center"/>
    </xf>
    <xf numFmtId="0" fontId="64" fillId="0" borderId="0" xfId="0" applyFont="1" applyFill="1" applyAlignment="1">
      <alignment/>
    </xf>
    <xf numFmtId="0" fontId="0" fillId="33" borderId="0" xfId="0" applyFill="1" applyAlignment="1">
      <alignment/>
    </xf>
    <xf numFmtId="0" fontId="5" fillId="0" borderId="0" xfId="0" applyNumberFormat="1" applyFont="1" applyAlignment="1">
      <alignment horizontal="left"/>
    </xf>
    <xf numFmtId="0" fontId="9" fillId="34" borderId="0" xfId="54" applyFont="1" applyFill="1" applyAlignment="1">
      <alignment horizontal="right"/>
      <protection/>
    </xf>
    <xf numFmtId="0" fontId="9" fillId="34" borderId="0" xfId="54" applyFont="1" applyFill="1">
      <alignment/>
      <protection/>
    </xf>
    <xf numFmtId="0" fontId="45" fillId="0" borderId="0" xfId="54">
      <alignment/>
      <protection/>
    </xf>
    <xf numFmtId="0" fontId="9" fillId="34" borderId="0" xfId="54" applyFont="1" applyFill="1" applyAlignment="1">
      <alignment horizontal="center"/>
      <protection/>
    </xf>
    <xf numFmtId="0" fontId="0" fillId="0" borderId="0" xfId="0" applyFont="1" applyFill="1" applyAlignment="1">
      <alignment horizontal="center"/>
    </xf>
    <xf numFmtId="1" fontId="1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 vertical="top" wrapText="1"/>
    </xf>
    <xf numFmtId="0" fontId="2" fillId="33" borderId="0" xfId="0" applyFont="1" applyFill="1" applyAlignment="1">
      <alignment horizontal="center" vertical="top" wrapText="1"/>
    </xf>
    <xf numFmtId="1" fontId="2" fillId="33" borderId="0" xfId="0" applyNumberFormat="1" applyFont="1" applyFill="1" applyAlignment="1">
      <alignment horizontal="center" vertical="top" wrapText="1"/>
    </xf>
    <xf numFmtId="0" fontId="2" fillId="33" borderId="0" xfId="0" applyNumberFormat="1" applyFont="1" applyFill="1" applyAlignment="1">
      <alignment horizontal="left" vertical="top" wrapText="1"/>
    </xf>
    <xf numFmtId="172" fontId="12" fillId="0" borderId="10" xfId="0" applyNumberFormat="1" applyFont="1" applyBorder="1" applyAlignment="1">
      <alignment horizontal="center" vertical="center" wrapText="1"/>
    </xf>
    <xf numFmtId="0" fontId="12" fillId="33" borderId="11" xfId="0" applyNumberFormat="1" applyFont="1" applyFill="1" applyBorder="1" applyAlignment="1">
      <alignment horizontal="center" vertical="center" wrapText="1"/>
    </xf>
    <xf numFmtId="0" fontId="12" fillId="33" borderId="11" xfId="0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1" fontId="11" fillId="33" borderId="11" xfId="0" applyNumberFormat="1" applyFont="1" applyFill="1" applyBorder="1" applyAlignment="1">
      <alignment horizontal="center" vertical="center" wrapText="1"/>
    </xf>
    <xf numFmtId="0" fontId="7" fillId="34" borderId="11" xfId="54" applyFont="1" applyFill="1" applyBorder="1" applyAlignment="1">
      <alignment horizontal="center" vertical="top" wrapText="1"/>
      <protection/>
    </xf>
    <xf numFmtId="0" fontId="11" fillId="33" borderId="11" xfId="0" applyNumberFormat="1" applyFont="1" applyFill="1" applyBorder="1" applyAlignment="1">
      <alignment horizontal="center" vertical="center" wrapText="1"/>
    </xf>
    <xf numFmtId="0" fontId="4" fillId="34" borderId="11" xfId="54" applyFont="1" applyFill="1" applyBorder="1" applyAlignment="1">
      <alignment horizontal="left" vertical="top" wrapText="1"/>
      <protection/>
    </xf>
    <xf numFmtId="173" fontId="12" fillId="34" borderId="11" xfId="54" applyNumberFormat="1" applyFont="1" applyFill="1" applyBorder="1" applyAlignment="1">
      <alignment horizontal="right" vertical="center" wrapText="1"/>
      <protection/>
    </xf>
    <xf numFmtId="49" fontId="4" fillId="34" borderId="11" xfId="54" applyNumberFormat="1" applyFont="1" applyFill="1" applyBorder="1" applyAlignment="1">
      <alignment horizontal="left" vertical="top" wrapText="1"/>
      <protection/>
    </xf>
    <xf numFmtId="0" fontId="11" fillId="33" borderId="11" xfId="0" applyNumberFormat="1" applyFont="1" applyFill="1" applyBorder="1" applyAlignment="1">
      <alignment vertical="top" wrapText="1"/>
    </xf>
    <xf numFmtId="0" fontId="11" fillId="33" borderId="11" xfId="0" applyFont="1" applyFill="1" applyBorder="1" applyAlignment="1">
      <alignment vertical="top" wrapText="1"/>
    </xf>
    <xf numFmtId="0" fontId="11" fillId="33" borderId="11" xfId="0" applyNumberFormat="1" applyFont="1" applyFill="1" applyBorder="1" applyAlignment="1">
      <alignment horizontal="left" vertical="top" wrapText="1"/>
    </xf>
    <xf numFmtId="0" fontId="14" fillId="33" borderId="11" xfId="0" applyNumberFormat="1" applyFont="1" applyFill="1" applyBorder="1" applyAlignment="1">
      <alignment horizontal="left" vertical="top" wrapText="1"/>
    </xf>
    <xf numFmtId="0" fontId="14" fillId="33" borderId="11" xfId="0" applyFont="1" applyFill="1" applyBorder="1" applyAlignment="1">
      <alignment vertical="top" wrapText="1"/>
    </xf>
    <xf numFmtId="0" fontId="12" fillId="33" borderId="10" xfId="0" applyNumberFormat="1" applyFont="1" applyFill="1" applyBorder="1" applyAlignment="1">
      <alignment horizontal="center" vertical="center" wrapText="1"/>
    </xf>
    <xf numFmtId="0" fontId="65" fillId="33" borderId="11" xfId="0" applyNumberFormat="1" applyFont="1" applyFill="1" applyBorder="1" applyAlignment="1">
      <alignment horizontal="left" vertical="top" wrapText="1"/>
    </xf>
    <xf numFmtId="0" fontId="66" fillId="33" borderId="11" xfId="0" applyNumberFormat="1" applyFont="1" applyFill="1" applyBorder="1" applyAlignment="1">
      <alignment horizontal="left" vertical="top" wrapText="1"/>
    </xf>
    <xf numFmtId="0" fontId="67" fillId="33" borderId="11" xfId="0" applyNumberFormat="1" applyFont="1" applyFill="1" applyBorder="1" applyAlignment="1">
      <alignment horizontal="left" vertical="top" wrapText="1"/>
    </xf>
    <xf numFmtId="0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9" fillId="0" borderId="0" xfId="0" applyFont="1" applyAlignment="1">
      <alignment/>
    </xf>
    <xf numFmtId="1" fontId="15" fillId="0" borderId="0" xfId="0" applyNumberFormat="1" applyFont="1" applyAlignment="1">
      <alignment horizontal="right"/>
    </xf>
    <xf numFmtId="173" fontId="11" fillId="33" borderId="11" xfId="0" applyNumberFormat="1" applyFont="1" applyFill="1" applyBorder="1" applyAlignment="1">
      <alignment horizontal="right" wrapText="1"/>
    </xf>
    <xf numFmtId="0" fontId="11" fillId="33" borderId="11" xfId="0" applyNumberFormat="1" applyFont="1" applyFill="1" applyBorder="1" applyAlignment="1">
      <alignment wrapText="1"/>
    </xf>
    <xf numFmtId="49" fontId="11" fillId="33" borderId="11" xfId="0" applyNumberFormat="1" applyFont="1" applyFill="1" applyBorder="1" applyAlignment="1">
      <alignment horizontal="right" vertical="center" wrapText="1"/>
    </xf>
    <xf numFmtId="0" fontId="11" fillId="33" borderId="11" xfId="0" applyNumberFormat="1" applyFont="1" applyFill="1" applyBorder="1" applyAlignment="1">
      <alignment horizontal="right" vertical="center" wrapText="1"/>
    </xf>
    <xf numFmtId="1" fontId="11" fillId="33" borderId="11" xfId="0" applyNumberFormat="1" applyFont="1" applyFill="1" applyBorder="1" applyAlignment="1">
      <alignment horizontal="right" vertical="center" wrapText="1"/>
    </xf>
    <xf numFmtId="0" fontId="11" fillId="33" borderId="11" xfId="0" applyNumberFormat="1" applyFont="1" applyFill="1" applyBorder="1" applyAlignment="1">
      <alignment horizontal="right" vertical="center"/>
    </xf>
    <xf numFmtId="173" fontId="11" fillId="33" borderId="11" xfId="0" applyNumberFormat="1" applyFont="1" applyFill="1" applyBorder="1" applyAlignment="1">
      <alignment horizontal="right" vertical="center" wrapText="1"/>
    </xf>
    <xf numFmtId="49" fontId="14" fillId="33" borderId="11" xfId="0" applyNumberFormat="1" applyFont="1" applyFill="1" applyBorder="1" applyAlignment="1">
      <alignment horizontal="center" vertical="center" wrapText="1"/>
    </xf>
    <xf numFmtId="173" fontId="14" fillId="33" borderId="11" xfId="0" applyNumberFormat="1" applyFont="1" applyFill="1" applyBorder="1" applyAlignment="1">
      <alignment horizontal="right" vertical="center" wrapText="1"/>
    </xf>
    <xf numFmtId="1" fontId="14" fillId="33" borderId="11" xfId="0" applyNumberFormat="1" applyFont="1" applyFill="1" applyBorder="1" applyAlignment="1">
      <alignment horizontal="center" vertical="center" wrapText="1"/>
    </xf>
    <xf numFmtId="0" fontId="14" fillId="33" borderId="11" xfId="0" applyNumberFormat="1" applyFont="1" applyFill="1" applyBorder="1" applyAlignment="1">
      <alignment horizontal="left" vertical="center" wrapText="1"/>
    </xf>
    <xf numFmtId="0" fontId="11" fillId="33" borderId="11" xfId="0" applyNumberFormat="1" applyFont="1" applyFill="1" applyBorder="1" applyAlignment="1">
      <alignment horizontal="left" vertical="center" wrapText="1"/>
    </xf>
    <xf numFmtId="1" fontId="11" fillId="33" borderId="11" xfId="0" applyNumberFormat="1" applyFont="1" applyFill="1" applyBorder="1" applyAlignment="1">
      <alignment horizontal="right" wrapText="1"/>
    </xf>
    <xf numFmtId="0" fontId="11" fillId="33" borderId="11" xfId="0" applyNumberFormat="1" applyFont="1" applyFill="1" applyBorder="1" applyAlignment="1">
      <alignment horizontal="right" wrapText="1"/>
    </xf>
    <xf numFmtId="49" fontId="11" fillId="33" borderId="11" xfId="0" applyNumberFormat="1" applyFont="1" applyFill="1" applyBorder="1" applyAlignment="1">
      <alignment horizontal="right" wrapText="1"/>
    </xf>
    <xf numFmtId="179" fontId="11" fillId="33" borderId="11" xfId="0" applyNumberFormat="1" applyFont="1" applyFill="1" applyBorder="1" applyAlignment="1">
      <alignment horizontal="right" wrapText="1"/>
    </xf>
    <xf numFmtId="49" fontId="3" fillId="34" borderId="11" xfId="54" applyNumberFormat="1" applyFont="1" applyFill="1" applyBorder="1" applyAlignment="1">
      <alignment horizontal="left" vertical="top" wrapText="1"/>
      <protection/>
    </xf>
    <xf numFmtId="0" fontId="3" fillId="34" borderId="11" xfId="54" applyFont="1" applyFill="1" applyBorder="1" applyAlignment="1">
      <alignment horizontal="left" vertical="top" wrapText="1"/>
      <protection/>
    </xf>
    <xf numFmtId="173" fontId="17" fillId="34" borderId="11" xfId="54" applyNumberFormat="1" applyFont="1" applyFill="1" applyBorder="1" applyAlignment="1">
      <alignment horizontal="right" vertical="center" wrapText="1"/>
      <protection/>
    </xf>
    <xf numFmtId="49" fontId="18" fillId="34" borderId="11" xfId="54" applyNumberFormat="1" applyFont="1" applyFill="1" applyBorder="1" applyAlignment="1">
      <alignment horizontal="left" vertical="top" wrapText="1"/>
      <protection/>
    </xf>
    <xf numFmtId="0" fontId="19" fillId="34" borderId="11" xfId="54" applyFont="1" applyFill="1" applyBorder="1" applyAlignment="1">
      <alignment horizontal="left" vertical="top" wrapText="1"/>
      <protection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174" fontId="21" fillId="0" borderId="0" xfId="0" applyNumberFormat="1" applyFont="1" applyFill="1" applyAlignment="1">
      <alignment/>
    </xf>
    <xf numFmtId="1" fontId="13" fillId="33" borderId="11" xfId="0" applyNumberFormat="1" applyFont="1" applyFill="1" applyBorder="1" applyAlignment="1">
      <alignment horizontal="center" vertical="center" textRotation="90" wrapText="1"/>
    </xf>
    <xf numFmtId="0" fontId="13" fillId="0" borderId="10" xfId="0" applyNumberFormat="1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center" textRotation="90"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1" fontId="6" fillId="33" borderId="10" xfId="0" applyNumberFormat="1" applyFont="1" applyFill="1" applyBorder="1" applyAlignment="1">
      <alignment horizontal="center" vertical="center" textRotation="90" wrapText="1"/>
    </xf>
    <xf numFmtId="0" fontId="13" fillId="33" borderId="10" xfId="0" applyNumberFormat="1" applyFont="1" applyFill="1" applyBorder="1" applyAlignment="1">
      <alignment horizontal="center" vertical="center" textRotation="90" wrapText="1"/>
    </xf>
    <xf numFmtId="0" fontId="13" fillId="33" borderId="11" xfId="0" applyNumberFormat="1" applyFont="1" applyFill="1" applyBorder="1" applyAlignment="1">
      <alignment horizontal="center" vertical="center" textRotation="90" wrapText="1"/>
    </xf>
    <xf numFmtId="0" fontId="20" fillId="33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top" textRotation="90" wrapText="1"/>
    </xf>
    <xf numFmtId="173" fontId="45" fillId="0" borderId="0" xfId="54" applyNumberFormat="1">
      <alignment/>
      <protection/>
    </xf>
    <xf numFmtId="0" fontId="10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173" fontId="17" fillId="33" borderId="11" xfId="0" applyNumberFormat="1" applyFont="1" applyFill="1" applyBorder="1" applyAlignment="1">
      <alignment horizontal="right" vertical="center" wrapText="1"/>
    </xf>
    <xf numFmtId="173" fontId="12" fillId="33" borderId="11" xfId="0" applyNumberFormat="1" applyFont="1" applyFill="1" applyBorder="1" applyAlignment="1">
      <alignment horizontal="right" vertical="center" wrapText="1"/>
    </xf>
    <xf numFmtId="173" fontId="7" fillId="33" borderId="11" xfId="0" applyNumberFormat="1" applyFont="1" applyFill="1" applyBorder="1" applyAlignment="1">
      <alignment horizontal="right" vertical="center" wrapText="1"/>
    </xf>
    <xf numFmtId="0" fontId="20" fillId="33" borderId="0" xfId="0" applyFont="1" applyFill="1" applyAlignment="1">
      <alignment/>
    </xf>
    <xf numFmtId="0" fontId="7" fillId="33" borderId="11" xfId="0" applyNumberFormat="1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center" vertical="center" textRotation="90" wrapText="1"/>
    </xf>
    <xf numFmtId="49" fontId="22" fillId="33" borderId="11" xfId="0" applyNumberFormat="1" applyFont="1" applyFill="1" applyBorder="1" applyAlignment="1">
      <alignment horizontal="center" vertical="top" textRotation="90" wrapText="1"/>
    </xf>
    <xf numFmtId="0" fontId="13" fillId="33" borderId="10" xfId="0" applyNumberFormat="1" applyFont="1" applyFill="1" applyBorder="1" applyAlignment="1">
      <alignment horizontal="center" vertical="top" wrapText="1"/>
    </xf>
    <xf numFmtId="172" fontId="12" fillId="33" borderId="10" xfId="0" applyNumberFormat="1" applyFont="1" applyFill="1" applyBorder="1" applyAlignment="1">
      <alignment horizontal="center" vertical="center" wrapText="1"/>
    </xf>
    <xf numFmtId="173" fontId="7" fillId="33" borderId="11" xfId="0" applyNumberFormat="1" applyFont="1" applyFill="1" applyBorder="1" applyAlignment="1">
      <alignment horizontal="right" wrapText="1"/>
    </xf>
    <xf numFmtId="173" fontId="7" fillId="33" borderId="11" xfId="0" applyNumberFormat="1" applyFont="1" applyFill="1" applyBorder="1" applyAlignment="1">
      <alignment horizontal="right" vertical="center"/>
    </xf>
    <xf numFmtId="0" fontId="16" fillId="33" borderId="11" xfId="0" applyNumberFormat="1" applyFont="1" applyFill="1" applyBorder="1" applyAlignment="1">
      <alignment horizontal="right" vertical="center" wrapText="1"/>
    </xf>
    <xf numFmtId="1" fontId="11" fillId="33" borderId="11" xfId="0" applyNumberFormat="1" applyFont="1" applyFill="1" applyBorder="1" applyAlignment="1">
      <alignment horizontal="right" vertical="center"/>
    </xf>
    <xf numFmtId="172" fontId="11" fillId="33" borderId="11" xfId="0" applyNumberFormat="1" applyFont="1" applyFill="1" applyBorder="1" applyAlignment="1">
      <alignment horizontal="right" vertical="center" wrapText="1"/>
    </xf>
    <xf numFmtId="0" fontId="0" fillId="33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172" fontId="11" fillId="33" borderId="12" xfId="0" applyNumberFormat="1" applyFont="1" applyFill="1" applyBorder="1" applyAlignment="1">
      <alignment horizontal="right" wrapText="1"/>
    </xf>
    <xf numFmtId="0" fontId="9" fillId="33" borderId="0" xfId="0" applyNumberFormat="1" applyFont="1" applyFill="1" applyAlignment="1">
      <alignment horizontal="center" wrapText="1"/>
    </xf>
    <xf numFmtId="0" fontId="8" fillId="0" borderId="0" xfId="0" applyFont="1" applyFill="1" applyAlignment="1">
      <alignment horizontal="right"/>
    </xf>
    <xf numFmtId="0" fontId="12" fillId="34" borderId="12" xfId="54" applyFont="1" applyFill="1" applyBorder="1" applyAlignment="1">
      <alignment horizontal="right"/>
      <protection/>
    </xf>
    <xf numFmtId="0" fontId="9" fillId="0" borderId="0" xfId="0" applyFont="1" applyAlignment="1">
      <alignment horizontal="right"/>
    </xf>
    <xf numFmtId="0" fontId="9" fillId="34" borderId="0" xfId="54" applyFont="1" applyFill="1" applyAlignment="1">
      <alignment horizontal="center" vertical="center" wrapText="1" shrinkToFit="1"/>
      <protection/>
    </xf>
    <xf numFmtId="0" fontId="9" fillId="34" borderId="0" xfId="54" applyFont="1" applyFill="1" applyAlignment="1">
      <alignment horizontal="right"/>
      <protection/>
    </xf>
    <xf numFmtId="172" fontId="11" fillId="33" borderId="12" xfId="0" applyNumberFormat="1" applyFont="1" applyFill="1" applyBorder="1" applyAlignment="1">
      <alignment horizontal="right" vertical="top" wrapText="1"/>
    </xf>
    <xf numFmtId="172" fontId="6" fillId="33" borderId="12" xfId="0" applyNumberFormat="1" applyFont="1" applyFill="1" applyBorder="1" applyAlignment="1">
      <alignment horizontal="right" vertical="top" wrapText="1"/>
    </xf>
    <xf numFmtId="0" fontId="45" fillId="0" borderId="0" xfId="54" applyAlignment="1">
      <alignment/>
      <protection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2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 8" xfId="61"/>
    <cellStyle name="Обычный 9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z1\&#1084;&#1086;&#1080;%20&#1076;&#1086;&#1082;&#1091;&#1084;&#1077;&#1085;&#1090;&#1099;\&#1052;&#1086;&#1080;%20&#1076;&#1086;&#1082;&#1091;&#1084;&#1077;&#1085;&#1090;&#1099;\2019\&#1044;&#1091;&#1084;&#1072;%202019\&#1058;&#1072;&#1073;&#1083;&#1080;&#1094;&#1072;%20&#8470;7,8,10,12,13%20(2019-2021)%20&#1085;&#1072;%2001.02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№10"/>
      <sheetName val="Таблица №8"/>
      <sheetName val="Таблица №7"/>
      <sheetName val="Таблица №12"/>
      <sheetName val="Таблица №13"/>
      <sheetName val="02 ЖКХ на 01.01.2019"/>
    </sheetNames>
    <sheetDataSet>
      <sheetData sheetId="0">
        <row r="134">
          <cell r="A134" t="str">
            <v>Подпрограмма «Строительство, реконструкция и ремонт объектов муниципальной собственности Алексеевского муниципального района»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350"/>
  <sheetViews>
    <sheetView showGridLines="0" zoomScale="80" zoomScaleNormal="80" zoomScalePageLayoutView="0" workbookViewId="0" topLeftCell="A1">
      <pane ySplit="9" topLeftCell="A219" activePane="bottomLeft" state="frozen"/>
      <selection pane="topLeft" activeCell="A1" sqref="A1"/>
      <selection pane="bottomLeft" activeCell="I359" sqref="I359"/>
    </sheetView>
  </sheetViews>
  <sheetFormatPr defaultColWidth="9.140625" defaultRowHeight="12.75" outlineLevelRow="5"/>
  <cols>
    <col min="1" max="1" width="54.421875" style="5" customWidth="1"/>
    <col min="2" max="2" width="5.140625" style="9" customWidth="1"/>
    <col min="3" max="3" width="6.00390625" style="9" customWidth="1"/>
    <col min="4" max="4" width="4.57421875" style="19" customWidth="1"/>
    <col min="5" max="5" width="3.8515625" style="22" customWidth="1"/>
    <col min="6" max="6" width="6.28125" style="8" customWidth="1"/>
    <col min="7" max="7" width="14.57421875" style="2" bestFit="1" customWidth="1"/>
    <col min="8" max="8" width="15.421875" style="2" bestFit="1" customWidth="1"/>
    <col min="9" max="9" width="15.7109375" style="2" customWidth="1"/>
    <col min="10" max="16384" width="9.140625" style="2" customWidth="1"/>
  </cols>
  <sheetData>
    <row r="1" spans="5:9" ht="18">
      <c r="E1" s="20"/>
      <c r="F1" s="84"/>
      <c r="G1" s="101" t="s">
        <v>353</v>
      </c>
      <c r="H1" s="101"/>
      <c r="I1" s="101"/>
    </row>
    <row r="2" spans="5:9" ht="18.75">
      <c r="E2" s="20"/>
      <c r="F2" s="85"/>
      <c r="G2" s="101" t="s">
        <v>354</v>
      </c>
      <c r="H2" s="101"/>
      <c r="I2" s="101"/>
    </row>
    <row r="3" spans="5:9" ht="18.75">
      <c r="E3" s="20"/>
      <c r="F3" s="85"/>
      <c r="G3" s="101" t="s">
        <v>355</v>
      </c>
      <c r="H3" s="101"/>
      <c r="I3" s="101"/>
    </row>
    <row r="4" spans="5:9" ht="18.75" customHeight="1">
      <c r="E4" s="85"/>
      <c r="F4" s="85"/>
      <c r="G4" s="101" t="s">
        <v>356</v>
      </c>
      <c r="H4" s="101"/>
      <c r="I4" s="101"/>
    </row>
    <row r="5" spans="1:9" ht="18.75">
      <c r="A5" s="6"/>
      <c r="B5" s="1"/>
      <c r="C5" s="1"/>
      <c r="D5" s="21"/>
      <c r="E5" s="104" t="s">
        <v>357</v>
      </c>
      <c r="F5" s="104"/>
      <c r="G5" s="104"/>
      <c r="H5" s="104"/>
      <c r="I5" s="104"/>
    </row>
    <row r="6" spans="1:9" ht="33.75" customHeight="1">
      <c r="A6" s="103" t="s">
        <v>348</v>
      </c>
      <c r="B6" s="103"/>
      <c r="C6" s="103"/>
      <c r="D6" s="103"/>
      <c r="E6" s="103"/>
      <c r="F6" s="103"/>
      <c r="G6" s="103"/>
      <c r="H6" s="103"/>
      <c r="I6" s="103"/>
    </row>
    <row r="7" spans="1:9" ht="12.75">
      <c r="A7" s="23"/>
      <c r="B7" s="24"/>
      <c r="C7" s="24"/>
      <c r="D7" s="24"/>
      <c r="E7" s="25"/>
      <c r="F7" s="26"/>
      <c r="G7" s="100"/>
      <c r="H7" s="100"/>
      <c r="I7" s="100"/>
    </row>
    <row r="8" spans="1:9" ht="12.75">
      <c r="A8" s="23"/>
      <c r="B8" s="24"/>
      <c r="C8" s="24"/>
      <c r="D8" s="24"/>
      <c r="E8" s="25"/>
      <c r="F8" s="26"/>
      <c r="G8" s="102"/>
      <c r="H8" s="102"/>
      <c r="I8" s="89" t="s">
        <v>271</v>
      </c>
    </row>
    <row r="9" spans="1:9" ht="91.5" customHeight="1">
      <c r="A9" s="90" t="s">
        <v>1</v>
      </c>
      <c r="B9" s="91" t="s">
        <v>172</v>
      </c>
      <c r="C9" s="77" t="s">
        <v>173</v>
      </c>
      <c r="D9" s="92" t="s">
        <v>215</v>
      </c>
      <c r="E9" s="74" t="s">
        <v>8</v>
      </c>
      <c r="F9" s="93" t="s">
        <v>149</v>
      </c>
      <c r="G9" s="94" t="s">
        <v>280</v>
      </c>
      <c r="H9" s="94" t="s">
        <v>347</v>
      </c>
      <c r="I9" s="94" t="s">
        <v>346</v>
      </c>
    </row>
    <row r="10" spans="1:9" ht="15.75" outlineLevel="1">
      <c r="A10" s="37" t="s">
        <v>26</v>
      </c>
      <c r="B10" s="52" t="s">
        <v>27</v>
      </c>
      <c r="C10" s="52"/>
      <c r="D10" s="52"/>
      <c r="E10" s="54" t="s">
        <v>0</v>
      </c>
      <c r="F10" s="53"/>
      <c r="G10" s="88">
        <f>SUM(G11)</f>
        <v>543</v>
      </c>
      <c r="H10" s="88">
        <f>SUM(H11)</f>
        <v>373.39511</v>
      </c>
      <c r="I10" s="88">
        <f>SUM(H10/G10)*100</f>
        <v>68.76521362799262</v>
      </c>
    </row>
    <row r="11" spans="1:9" ht="15.75" outlineLevel="1">
      <c r="A11" s="37" t="s">
        <v>97</v>
      </c>
      <c r="B11" s="52" t="s">
        <v>27</v>
      </c>
      <c r="C11" s="52" t="s">
        <v>41</v>
      </c>
      <c r="D11" s="52"/>
      <c r="E11" s="54"/>
      <c r="F11" s="53"/>
      <c r="G11" s="88">
        <f>SUM(G12)</f>
        <v>543</v>
      </c>
      <c r="H11" s="88">
        <f>SUM(H12)</f>
        <v>373.39511</v>
      </c>
      <c r="I11" s="88">
        <f aca="true" t="shared" si="0" ref="I11:I74">SUM(H11/G11)*100</f>
        <v>68.76521362799262</v>
      </c>
    </row>
    <row r="12" spans="1:9" ht="38.25" customHeight="1" outlineLevel="2">
      <c r="A12" s="37" t="s">
        <v>25</v>
      </c>
      <c r="B12" s="52" t="s">
        <v>27</v>
      </c>
      <c r="C12" s="52" t="s">
        <v>28</v>
      </c>
      <c r="D12" s="52"/>
      <c r="E12" s="54"/>
      <c r="F12" s="53"/>
      <c r="G12" s="88">
        <f>SUM(G13+G16)</f>
        <v>543</v>
      </c>
      <c r="H12" s="88">
        <f>SUM(H13+H16)</f>
        <v>373.39511</v>
      </c>
      <c r="I12" s="88">
        <f t="shared" si="0"/>
        <v>68.76521362799262</v>
      </c>
    </row>
    <row r="13" spans="1:9" ht="23.25" customHeight="1" outlineLevel="2">
      <c r="A13" s="37" t="s">
        <v>100</v>
      </c>
      <c r="B13" s="52" t="s">
        <v>27</v>
      </c>
      <c r="C13" s="52" t="s">
        <v>28</v>
      </c>
      <c r="D13" s="52" t="s">
        <v>11</v>
      </c>
      <c r="E13" s="54" t="s">
        <v>9</v>
      </c>
      <c r="F13" s="53"/>
      <c r="G13" s="88">
        <f>SUM(G14:G15)</f>
        <v>542.99986</v>
      </c>
      <c r="H13" s="88">
        <f>SUM(H14:H15)</f>
        <v>373.39497</v>
      </c>
      <c r="I13" s="88">
        <f t="shared" si="0"/>
        <v>68.7652055748228</v>
      </c>
    </row>
    <row r="14" spans="1:9" ht="51" customHeight="1" outlineLevel="2">
      <c r="A14" s="37" t="s">
        <v>98</v>
      </c>
      <c r="B14" s="52" t="s">
        <v>27</v>
      </c>
      <c r="C14" s="52" t="s">
        <v>28</v>
      </c>
      <c r="D14" s="52" t="s">
        <v>11</v>
      </c>
      <c r="E14" s="54" t="s">
        <v>9</v>
      </c>
      <c r="F14" s="53">
        <v>100</v>
      </c>
      <c r="G14" s="88">
        <f>472.2+9.5-0.00014</f>
        <v>481.69986</v>
      </c>
      <c r="H14" s="88">
        <v>366.89497</v>
      </c>
      <c r="I14" s="88">
        <f t="shared" si="0"/>
        <v>76.16671717529667</v>
      </c>
    </row>
    <row r="15" spans="1:9" s="3" customFormat="1" ht="24" outlineLevel="3">
      <c r="A15" s="37" t="s">
        <v>99</v>
      </c>
      <c r="B15" s="52" t="s">
        <v>27</v>
      </c>
      <c r="C15" s="52" t="s">
        <v>28</v>
      </c>
      <c r="D15" s="52" t="s">
        <v>11</v>
      </c>
      <c r="E15" s="54">
        <v>0</v>
      </c>
      <c r="F15" s="53">
        <v>200</v>
      </c>
      <c r="G15" s="88">
        <v>61.3</v>
      </c>
      <c r="H15" s="88">
        <v>6.5</v>
      </c>
      <c r="I15" s="88">
        <f t="shared" si="0"/>
        <v>10.603588907014682</v>
      </c>
    </row>
    <row r="16" spans="1:9" s="3" customFormat="1" ht="24" outlineLevel="3">
      <c r="A16" s="37" t="s">
        <v>150</v>
      </c>
      <c r="B16" s="52" t="s">
        <v>27</v>
      </c>
      <c r="C16" s="52" t="s">
        <v>28</v>
      </c>
      <c r="D16" s="52" t="s">
        <v>16</v>
      </c>
      <c r="E16" s="54">
        <v>0</v>
      </c>
      <c r="F16" s="53"/>
      <c r="G16" s="95">
        <f>SUM(G17)</f>
        <v>0.00014</v>
      </c>
      <c r="H16" s="95">
        <f>SUM(H17)</f>
        <v>0.00014</v>
      </c>
      <c r="I16" s="88">
        <f t="shared" si="0"/>
        <v>100</v>
      </c>
    </row>
    <row r="17" spans="1:9" s="3" customFormat="1" ht="15.75" outlineLevel="3">
      <c r="A17" s="37" t="s">
        <v>139</v>
      </c>
      <c r="B17" s="52" t="s">
        <v>27</v>
      </c>
      <c r="C17" s="52" t="s">
        <v>28</v>
      </c>
      <c r="D17" s="52" t="s">
        <v>16</v>
      </c>
      <c r="E17" s="54">
        <v>0</v>
      </c>
      <c r="F17" s="53">
        <v>800</v>
      </c>
      <c r="G17" s="88">
        <f>0.00014</f>
        <v>0.00014</v>
      </c>
      <c r="H17" s="88">
        <f>0.00014</f>
        <v>0.00014</v>
      </c>
      <c r="I17" s="88">
        <f t="shared" si="0"/>
        <v>100</v>
      </c>
    </row>
    <row r="18" spans="1:9" s="3" customFormat="1" ht="19.5" customHeight="1" outlineLevel="3">
      <c r="A18" s="37" t="s">
        <v>274</v>
      </c>
      <c r="B18" s="52" t="s">
        <v>30</v>
      </c>
      <c r="C18" s="52"/>
      <c r="D18" s="52"/>
      <c r="E18" s="54"/>
      <c r="F18" s="53"/>
      <c r="G18" s="88">
        <f>SUM(G19)</f>
        <v>1713.3</v>
      </c>
      <c r="H18" s="88">
        <f>SUM(H19)</f>
        <v>1277.96389</v>
      </c>
      <c r="I18" s="88">
        <f t="shared" si="0"/>
        <v>74.59078328372148</v>
      </c>
    </row>
    <row r="19" spans="1:9" s="3" customFormat="1" ht="15.75" outlineLevel="3">
      <c r="A19" s="37" t="s">
        <v>97</v>
      </c>
      <c r="B19" s="52" t="s">
        <v>30</v>
      </c>
      <c r="C19" s="52" t="s">
        <v>41</v>
      </c>
      <c r="D19" s="64"/>
      <c r="E19" s="62"/>
      <c r="F19" s="63"/>
      <c r="G19" s="88">
        <f>SUM(G20)</f>
        <v>1713.3</v>
      </c>
      <c r="H19" s="88">
        <f>SUM(H20)</f>
        <v>1277.96389</v>
      </c>
      <c r="I19" s="88">
        <f t="shared" si="0"/>
        <v>74.59078328372148</v>
      </c>
    </row>
    <row r="20" spans="1:9" s="3" customFormat="1" ht="29.25" customHeight="1" outlineLevel="3">
      <c r="A20" s="37" t="s">
        <v>32</v>
      </c>
      <c r="B20" s="52" t="s">
        <v>30</v>
      </c>
      <c r="C20" s="52" t="s">
        <v>31</v>
      </c>
      <c r="D20" s="52"/>
      <c r="E20" s="54"/>
      <c r="F20" s="53"/>
      <c r="G20" s="88">
        <f>SUM(G21+G24)</f>
        <v>1713.3</v>
      </c>
      <c r="H20" s="88">
        <f>SUM(H21+H24)</f>
        <v>1277.96389</v>
      </c>
      <c r="I20" s="88">
        <f t="shared" si="0"/>
        <v>74.59078328372148</v>
      </c>
    </row>
    <row r="21" spans="1:9" s="3" customFormat="1" ht="29.25" customHeight="1" outlineLevel="3">
      <c r="A21" s="37" t="s">
        <v>100</v>
      </c>
      <c r="B21" s="52" t="s">
        <v>30</v>
      </c>
      <c r="C21" s="52" t="s">
        <v>31</v>
      </c>
      <c r="D21" s="52" t="s">
        <v>11</v>
      </c>
      <c r="E21" s="54" t="s">
        <v>9</v>
      </c>
      <c r="F21" s="53"/>
      <c r="G21" s="88">
        <f>SUM(G22:G23)</f>
        <v>1708.27619</v>
      </c>
      <c r="H21" s="88">
        <f>SUM(H22:H23)</f>
        <v>1272.94008</v>
      </c>
      <c r="I21" s="88">
        <f t="shared" si="0"/>
        <v>74.51605820250882</v>
      </c>
    </row>
    <row r="22" spans="1:9" s="3" customFormat="1" ht="45" customHeight="1" outlineLevel="3">
      <c r="A22" s="37" t="s">
        <v>98</v>
      </c>
      <c r="B22" s="52" t="s">
        <v>30</v>
      </c>
      <c r="C22" s="52" t="s">
        <v>31</v>
      </c>
      <c r="D22" s="52" t="s">
        <v>11</v>
      </c>
      <c r="E22" s="54" t="s">
        <v>9</v>
      </c>
      <c r="F22" s="53">
        <v>100</v>
      </c>
      <c r="G22" s="88">
        <f>1627.5+60.8-0.02381</f>
        <v>1688.27619</v>
      </c>
      <c r="H22" s="88">
        <v>1272.94008</v>
      </c>
      <c r="I22" s="88">
        <f t="shared" si="0"/>
        <v>75.39880545256045</v>
      </c>
    </row>
    <row r="23" spans="1:9" s="3" customFormat="1" ht="24" outlineLevel="3">
      <c r="A23" s="37" t="s">
        <v>99</v>
      </c>
      <c r="B23" s="52" t="s">
        <v>30</v>
      </c>
      <c r="C23" s="52" t="s">
        <v>31</v>
      </c>
      <c r="D23" s="52" t="s">
        <v>11</v>
      </c>
      <c r="E23" s="54">
        <v>0</v>
      </c>
      <c r="F23" s="53">
        <v>200</v>
      </c>
      <c r="G23" s="88">
        <f>24.7+24.7-29.4</f>
        <v>20</v>
      </c>
      <c r="H23" s="88">
        <v>0</v>
      </c>
      <c r="I23" s="88">
        <f t="shared" si="0"/>
        <v>0</v>
      </c>
    </row>
    <row r="24" spans="1:9" s="3" customFormat="1" ht="24.75" customHeight="1" outlineLevel="3">
      <c r="A24" s="37" t="s">
        <v>150</v>
      </c>
      <c r="B24" s="52" t="s">
        <v>30</v>
      </c>
      <c r="C24" s="52" t="s">
        <v>31</v>
      </c>
      <c r="D24" s="52" t="s">
        <v>16</v>
      </c>
      <c r="E24" s="54">
        <v>0</v>
      </c>
      <c r="F24" s="53"/>
      <c r="G24" s="95">
        <f>SUM(G25)</f>
        <v>5.02381</v>
      </c>
      <c r="H24" s="95">
        <f>SUM(H25)</f>
        <v>5.02381</v>
      </c>
      <c r="I24" s="88">
        <f t="shared" si="0"/>
        <v>100</v>
      </c>
    </row>
    <row r="25" spans="1:9" s="3" customFormat="1" ht="15.75" outlineLevel="3">
      <c r="A25" s="37" t="s">
        <v>139</v>
      </c>
      <c r="B25" s="52" t="s">
        <v>30</v>
      </c>
      <c r="C25" s="52" t="s">
        <v>31</v>
      </c>
      <c r="D25" s="52" t="s">
        <v>16</v>
      </c>
      <c r="E25" s="54">
        <v>0</v>
      </c>
      <c r="F25" s="53">
        <v>800</v>
      </c>
      <c r="G25" s="88">
        <f>5+0.02381</f>
        <v>5.02381</v>
      </c>
      <c r="H25" s="88">
        <v>5.02381</v>
      </c>
      <c r="I25" s="88">
        <f t="shared" si="0"/>
        <v>100</v>
      </c>
    </row>
    <row r="26" spans="1:9" s="3" customFormat="1" ht="17.25" customHeight="1" outlineLevel="3">
      <c r="A26" s="37" t="s">
        <v>229</v>
      </c>
      <c r="B26" s="52" t="s">
        <v>39</v>
      </c>
      <c r="C26" s="52"/>
      <c r="D26" s="52"/>
      <c r="E26" s="54"/>
      <c r="F26" s="53"/>
      <c r="G26" s="88">
        <f>SUM(G27+G101+G106+G113+G137+G157+G161+G262+G291+G325+G337+G342+G346+G286)</f>
        <v>503465.28928</v>
      </c>
      <c r="H26" s="88">
        <f>SUM(H27+H101+H106+H113+H137+H157+H161+H262+H291+H325+H337+H342+H346+H286)</f>
        <v>344679.45669000014</v>
      </c>
      <c r="I26" s="88">
        <f t="shared" si="0"/>
        <v>68.46141412904994</v>
      </c>
    </row>
    <row r="27" spans="1:9" s="3" customFormat="1" ht="15.75" outlineLevel="3">
      <c r="A27" s="37" t="s">
        <v>97</v>
      </c>
      <c r="B27" s="52" t="s">
        <v>39</v>
      </c>
      <c r="C27" s="52" t="s">
        <v>41</v>
      </c>
      <c r="D27" s="52"/>
      <c r="E27" s="54"/>
      <c r="F27" s="53"/>
      <c r="G27" s="88">
        <f>SUM(G28+G31+G55+G59+G62+G51)</f>
        <v>84032.83978000001</v>
      </c>
      <c r="H27" s="88">
        <f>SUM(H28+H31+H55+H59+H62+H51)</f>
        <v>69087.07383000001</v>
      </c>
      <c r="I27" s="88">
        <f t="shared" si="0"/>
        <v>82.21437477404265</v>
      </c>
    </row>
    <row r="28" spans="1:9" s="3" customFormat="1" ht="24" outlineLevel="3">
      <c r="A28" s="37" t="s">
        <v>33</v>
      </c>
      <c r="B28" s="52" t="s">
        <v>39</v>
      </c>
      <c r="C28" s="52" t="s">
        <v>42</v>
      </c>
      <c r="D28" s="52"/>
      <c r="E28" s="54"/>
      <c r="F28" s="53"/>
      <c r="G28" s="88">
        <f>SUM(G30)</f>
        <v>2129.94572</v>
      </c>
      <c r="H28" s="88">
        <f>SUM(H30)</f>
        <v>1528.09738</v>
      </c>
      <c r="I28" s="88">
        <f t="shared" si="0"/>
        <v>71.74348931295769</v>
      </c>
    </row>
    <row r="29" spans="1:9" s="3" customFormat="1" ht="27.75" customHeight="1" outlineLevel="3">
      <c r="A29" s="37" t="s">
        <v>100</v>
      </c>
      <c r="B29" s="52" t="s">
        <v>39</v>
      </c>
      <c r="C29" s="52" t="s">
        <v>42</v>
      </c>
      <c r="D29" s="52" t="s">
        <v>11</v>
      </c>
      <c r="E29" s="54" t="s">
        <v>9</v>
      </c>
      <c r="F29" s="53"/>
      <c r="G29" s="88">
        <f>SUM(G30)</f>
        <v>2129.94572</v>
      </c>
      <c r="H29" s="88">
        <f>SUM(H30)</f>
        <v>1528.09738</v>
      </c>
      <c r="I29" s="88">
        <f t="shared" si="0"/>
        <v>71.74348931295769</v>
      </c>
    </row>
    <row r="30" spans="1:9" ht="48.75" customHeight="1" outlineLevel="1">
      <c r="A30" s="37" t="s">
        <v>98</v>
      </c>
      <c r="B30" s="52" t="s">
        <v>39</v>
      </c>
      <c r="C30" s="52" t="s">
        <v>42</v>
      </c>
      <c r="D30" s="52" t="s">
        <v>11</v>
      </c>
      <c r="E30" s="54">
        <v>0</v>
      </c>
      <c r="F30" s="53">
        <v>100</v>
      </c>
      <c r="G30" s="88">
        <f>2080+43+6.94572</f>
        <v>2129.94572</v>
      </c>
      <c r="H30" s="88">
        <v>1528.09738</v>
      </c>
      <c r="I30" s="88">
        <f t="shared" si="0"/>
        <v>71.74348931295769</v>
      </c>
    </row>
    <row r="31" spans="1:9" ht="36.75" customHeight="1" outlineLevel="2">
      <c r="A31" s="38" t="s">
        <v>34</v>
      </c>
      <c r="B31" s="52" t="s">
        <v>39</v>
      </c>
      <c r="C31" s="52" t="s">
        <v>40</v>
      </c>
      <c r="D31" s="52"/>
      <c r="E31" s="54"/>
      <c r="F31" s="53"/>
      <c r="G31" s="88">
        <f>SUM(G32+G49)</f>
        <v>36394.554280000004</v>
      </c>
      <c r="H31" s="88">
        <f>SUM(H32+H49)</f>
        <v>27057.853999999996</v>
      </c>
      <c r="I31" s="88">
        <f t="shared" si="0"/>
        <v>74.34588645276848</v>
      </c>
    </row>
    <row r="32" spans="1:9" s="3" customFormat="1" ht="27" customHeight="1" outlineLevel="3">
      <c r="A32" s="37" t="s">
        <v>100</v>
      </c>
      <c r="B32" s="52" t="s">
        <v>39</v>
      </c>
      <c r="C32" s="52" t="s">
        <v>40</v>
      </c>
      <c r="D32" s="52" t="s">
        <v>11</v>
      </c>
      <c r="E32" s="54">
        <v>0</v>
      </c>
      <c r="F32" s="53"/>
      <c r="G32" s="88">
        <f>SUM(G33+G36)</f>
        <v>36344.554280000004</v>
      </c>
      <c r="H32" s="88">
        <f>SUM(H33+H36)</f>
        <v>27055.053999999996</v>
      </c>
      <c r="I32" s="88">
        <f t="shared" si="0"/>
        <v>74.44046167567967</v>
      </c>
    </row>
    <row r="33" spans="1:9" ht="15.75" outlineLevel="1">
      <c r="A33" s="38" t="s">
        <v>3</v>
      </c>
      <c r="B33" s="52" t="s">
        <v>39</v>
      </c>
      <c r="C33" s="52" t="s">
        <v>40</v>
      </c>
      <c r="D33" s="52" t="s">
        <v>11</v>
      </c>
      <c r="E33" s="54">
        <v>0</v>
      </c>
      <c r="F33" s="53"/>
      <c r="G33" s="88">
        <f>SUM(G34:G35)</f>
        <v>34451.15428</v>
      </c>
      <c r="H33" s="88">
        <f>SUM(H34:H35)</f>
        <v>25679.091679999998</v>
      </c>
      <c r="I33" s="88">
        <f t="shared" si="0"/>
        <v>74.53768158620895</v>
      </c>
    </row>
    <row r="34" spans="1:9" ht="49.5" customHeight="1" outlineLevel="2">
      <c r="A34" s="38" t="s">
        <v>98</v>
      </c>
      <c r="B34" s="52" t="s">
        <v>39</v>
      </c>
      <c r="C34" s="52" t="s">
        <v>40</v>
      </c>
      <c r="D34" s="52" t="s">
        <v>11</v>
      </c>
      <c r="E34" s="54">
        <v>0</v>
      </c>
      <c r="F34" s="53">
        <v>100</v>
      </c>
      <c r="G34" s="88">
        <f>29836.85+2571.95+242.35428</f>
        <v>32651.15428</v>
      </c>
      <c r="H34" s="88">
        <v>24573.32896</v>
      </c>
      <c r="I34" s="88">
        <f t="shared" si="0"/>
        <v>75.26021514973527</v>
      </c>
    </row>
    <row r="35" spans="1:9" ht="24">
      <c r="A35" s="38" t="s">
        <v>99</v>
      </c>
      <c r="B35" s="52" t="s">
        <v>39</v>
      </c>
      <c r="C35" s="52" t="s">
        <v>40</v>
      </c>
      <c r="D35" s="52" t="s">
        <v>11</v>
      </c>
      <c r="E35" s="54">
        <v>0</v>
      </c>
      <c r="F35" s="53">
        <v>200</v>
      </c>
      <c r="G35" s="88">
        <v>1800</v>
      </c>
      <c r="H35" s="88">
        <v>1105.76272</v>
      </c>
      <c r="I35" s="88">
        <f t="shared" si="0"/>
        <v>61.431262222222216</v>
      </c>
    </row>
    <row r="36" spans="1:9" ht="23.25" customHeight="1" outlineLevel="2">
      <c r="A36" s="37" t="s">
        <v>100</v>
      </c>
      <c r="B36" s="52" t="s">
        <v>39</v>
      </c>
      <c r="C36" s="52" t="s">
        <v>40</v>
      </c>
      <c r="D36" s="52" t="s">
        <v>11</v>
      </c>
      <c r="E36" s="54" t="s">
        <v>9</v>
      </c>
      <c r="F36" s="53"/>
      <c r="G36" s="96">
        <f>SUM(G37+G40+G43+G46)</f>
        <v>1893.3999999999999</v>
      </c>
      <c r="H36" s="96">
        <f>SUM(H37+H40+H43+H46)</f>
        <v>1375.9623199999999</v>
      </c>
      <c r="I36" s="88">
        <f t="shared" si="0"/>
        <v>72.67150734129079</v>
      </c>
    </row>
    <row r="37" spans="1:9" ht="31.5" customHeight="1" outlineLevel="1">
      <c r="A37" s="37" t="s">
        <v>101</v>
      </c>
      <c r="B37" s="52" t="s">
        <v>39</v>
      </c>
      <c r="C37" s="52" t="s">
        <v>40</v>
      </c>
      <c r="D37" s="52" t="s">
        <v>11</v>
      </c>
      <c r="E37" s="54" t="s">
        <v>9</v>
      </c>
      <c r="F37" s="53"/>
      <c r="G37" s="88">
        <f>SUM(G38:G39)</f>
        <v>332.4</v>
      </c>
      <c r="H37" s="88">
        <f>SUM(H38:H39)</f>
        <v>257.05023</v>
      </c>
      <c r="I37" s="88">
        <f t="shared" si="0"/>
        <v>77.3315974729242</v>
      </c>
    </row>
    <row r="38" spans="1:9" ht="47.25" customHeight="1" outlineLevel="5">
      <c r="A38" s="37" t="s">
        <v>98</v>
      </c>
      <c r="B38" s="52" t="s">
        <v>39</v>
      </c>
      <c r="C38" s="52" t="s">
        <v>40</v>
      </c>
      <c r="D38" s="52" t="s">
        <v>11</v>
      </c>
      <c r="E38" s="54" t="s">
        <v>9</v>
      </c>
      <c r="F38" s="53">
        <v>100</v>
      </c>
      <c r="G38" s="96">
        <v>332.4</v>
      </c>
      <c r="H38" s="96">
        <v>257.05023</v>
      </c>
      <c r="I38" s="88">
        <f t="shared" si="0"/>
        <v>77.3315974729242</v>
      </c>
    </row>
    <row r="39" spans="1:9" ht="24" hidden="1" outlineLevel="5">
      <c r="A39" s="37" t="s">
        <v>99</v>
      </c>
      <c r="B39" s="52" t="s">
        <v>39</v>
      </c>
      <c r="C39" s="52" t="s">
        <v>40</v>
      </c>
      <c r="D39" s="52" t="s">
        <v>11</v>
      </c>
      <c r="E39" s="54" t="s">
        <v>9</v>
      </c>
      <c r="F39" s="53">
        <v>200</v>
      </c>
      <c r="G39" s="96">
        <v>0</v>
      </c>
      <c r="H39" s="96">
        <v>0</v>
      </c>
      <c r="I39" s="88" t="e">
        <f t="shared" si="0"/>
        <v>#DIV/0!</v>
      </c>
    </row>
    <row r="40" spans="1:9" ht="27" customHeight="1" outlineLevel="5">
      <c r="A40" s="37" t="s">
        <v>102</v>
      </c>
      <c r="B40" s="52" t="s">
        <v>39</v>
      </c>
      <c r="C40" s="52" t="s">
        <v>40</v>
      </c>
      <c r="D40" s="52" t="s">
        <v>11</v>
      </c>
      <c r="E40" s="54" t="s">
        <v>9</v>
      </c>
      <c r="F40" s="53"/>
      <c r="G40" s="88">
        <f>SUM(G41:G42)</f>
        <v>746.4</v>
      </c>
      <c r="H40" s="88">
        <f>SUM(H41:H42)</f>
        <v>596.89808</v>
      </c>
      <c r="I40" s="88">
        <f t="shared" si="0"/>
        <v>79.97026795284032</v>
      </c>
    </row>
    <row r="41" spans="1:9" ht="47.25" customHeight="1" outlineLevel="2">
      <c r="A41" s="37" t="s">
        <v>98</v>
      </c>
      <c r="B41" s="52" t="s">
        <v>39</v>
      </c>
      <c r="C41" s="52" t="s">
        <v>40</v>
      </c>
      <c r="D41" s="52" t="s">
        <v>11</v>
      </c>
      <c r="E41" s="54" t="s">
        <v>9</v>
      </c>
      <c r="F41" s="53">
        <v>100</v>
      </c>
      <c r="G41" s="88">
        <f>746.4-10</f>
        <v>736.4</v>
      </c>
      <c r="H41" s="88">
        <v>588.78985</v>
      </c>
      <c r="I41" s="88">
        <f t="shared" si="0"/>
        <v>79.95516702878871</v>
      </c>
    </row>
    <row r="42" spans="1:9" ht="24" outlineLevel="4">
      <c r="A42" s="37" t="s">
        <v>99</v>
      </c>
      <c r="B42" s="52" t="s">
        <v>39</v>
      </c>
      <c r="C42" s="52" t="s">
        <v>40</v>
      </c>
      <c r="D42" s="52" t="s">
        <v>11</v>
      </c>
      <c r="E42" s="54" t="s">
        <v>9</v>
      </c>
      <c r="F42" s="53">
        <v>200</v>
      </c>
      <c r="G42" s="88">
        <v>10</v>
      </c>
      <c r="H42" s="88">
        <v>8.10823</v>
      </c>
      <c r="I42" s="88">
        <f t="shared" si="0"/>
        <v>81.0823</v>
      </c>
    </row>
    <row r="43" spans="1:9" s="13" customFormat="1" ht="33.75" customHeight="1" outlineLevel="5">
      <c r="A43" s="37" t="s">
        <v>218</v>
      </c>
      <c r="B43" s="52" t="s">
        <v>39</v>
      </c>
      <c r="C43" s="52" t="s">
        <v>40</v>
      </c>
      <c r="D43" s="52" t="s">
        <v>11</v>
      </c>
      <c r="E43" s="54" t="s">
        <v>9</v>
      </c>
      <c r="F43" s="53"/>
      <c r="G43" s="88">
        <f>SUM(G44:G45)</f>
        <v>351.3</v>
      </c>
      <c r="H43" s="88">
        <f>SUM(H44:H45)</f>
        <v>261.54281</v>
      </c>
      <c r="I43" s="88">
        <f t="shared" si="0"/>
        <v>74.44998861372045</v>
      </c>
    </row>
    <row r="44" spans="1:9" ht="45" customHeight="1" outlineLevel="5">
      <c r="A44" s="37" t="s">
        <v>98</v>
      </c>
      <c r="B44" s="52" t="s">
        <v>39</v>
      </c>
      <c r="C44" s="52" t="s">
        <v>40</v>
      </c>
      <c r="D44" s="52" t="s">
        <v>11</v>
      </c>
      <c r="E44" s="54" t="s">
        <v>9</v>
      </c>
      <c r="F44" s="53">
        <v>100</v>
      </c>
      <c r="G44" s="96">
        <v>351.3</v>
      </c>
      <c r="H44" s="96">
        <v>261.54281</v>
      </c>
      <c r="I44" s="88">
        <f t="shared" si="0"/>
        <v>74.44998861372045</v>
      </c>
    </row>
    <row r="45" spans="1:9" ht="24" hidden="1" outlineLevel="4">
      <c r="A45" s="37" t="s">
        <v>99</v>
      </c>
      <c r="B45" s="52" t="s">
        <v>39</v>
      </c>
      <c r="C45" s="52" t="s">
        <v>40</v>
      </c>
      <c r="D45" s="52" t="s">
        <v>11</v>
      </c>
      <c r="E45" s="54" t="s">
        <v>9</v>
      </c>
      <c r="F45" s="53">
        <v>200</v>
      </c>
      <c r="G45" s="96">
        <v>0</v>
      </c>
      <c r="H45" s="96">
        <v>0</v>
      </c>
      <c r="I45" s="88" t="e">
        <f t="shared" si="0"/>
        <v>#DIV/0!</v>
      </c>
    </row>
    <row r="46" spans="1:9" ht="39" customHeight="1" outlineLevel="5">
      <c r="A46" s="37" t="s">
        <v>343</v>
      </c>
      <c r="B46" s="52" t="s">
        <v>39</v>
      </c>
      <c r="C46" s="52" t="s">
        <v>40</v>
      </c>
      <c r="D46" s="52" t="s">
        <v>11</v>
      </c>
      <c r="E46" s="54" t="s">
        <v>9</v>
      </c>
      <c r="F46" s="53"/>
      <c r="G46" s="88">
        <f>SUM(G47:G48)</f>
        <v>463.3</v>
      </c>
      <c r="H46" s="88">
        <f>SUM(H47:H48)</f>
        <v>260.47119999999995</v>
      </c>
      <c r="I46" s="88">
        <f t="shared" si="0"/>
        <v>56.220850420893576</v>
      </c>
    </row>
    <row r="47" spans="1:9" ht="48" outlineLevel="5">
      <c r="A47" s="37" t="s">
        <v>98</v>
      </c>
      <c r="B47" s="52" t="s">
        <v>39</v>
      </c>
      <c r="C47" s="52" t="s">
        <v>40</v>
      </c>
      <c r="D47" s="52" t="s">
        <v>11</v>
      </c>
      <c r="E47" s="54" t="s">
        <v>9</v>
      </c>
      <c r="F47" s="53">
        <v>100</v>
      </c>
      <c r="G47" s="88">
        <f>75+4.25274</f>
        <v>79.25274</v>
      </c>
      <c r="H47" s="88">
        <v>66.04395</v>
      </c>
      <c r="I47" s="88">
        <f t="shared" si="0"/>
        <v>83.33333333333333</v>
      </c>
    </row>
    <row r="48" spans="1:9" ht="24" outlineLevel="5">
      <c r="A48" s="37" t="s">
        <v>99</v>
      </c>
      <c r="B48" s="52" t="s">
        <v>39</v>
      </c>
      <c r="C48" s="52" t="s">
        <v>40</v>
      </c>
      <c r="D48" s="52" t="s">
        <v>11</v>
      </c>
      <c r="E48" s="54" t="s">
        <v>9</v>
      </c>
      <c r="F48" s="53">
        <v>200</v>
      </c>
      <c r="G48" s="88">
        <f>464-G47-0.7</f>
        <v>384.04726</v>
      </c>
      <c r="H48" s="88">
        <v>194.42725</v>
      </c>
      <c r="I48" s="88">
        <f t="shared" si="0"/>
        <v>50.6258656812185</v>
      </c>
    </row>
    <row r="49" spans="1:9" ht="36" outlineLevel="2">
      <c r="A49" s="37" t="s">
        <v>238</v>
      </c>
      <c r="B49" s="52" t="s">
        <v>39</v>
      </c>
      <c r="C49" s="52" t="s">
        <v>40</v>
      </c>
      <c r="D49" s="52" t="s">
        <v>2</v>
      </c>
      <c r="E49" s="54">
        <v>0</v>
      </c>
      <c r="F49" s="53"/>
      <c r="G49" s="88">
        <f>SUM(G50)</f>
        <v>50</v>
      </c>
      <c r="H49" s="88">
        <f>SUM(H50)</f>
        <v>2.8</v>
      </c>
      <c r="I49" s="88">
        <f t="shared" si="0"/>
        <v>5.6</v>
      </c>
    </row>
    <row r="50" spans="1:9" ht="24" outlineLevel="2">
      <c r="A50" s="37" t="s">
        <v>99</v>
      </c>
      <c r="B50" s="52" t="s">
        <v>39</v>
      </c>
      <c r="C50" s="52" t="s">
        <v>40</v>
      </c>
      <c r="D50" s="52" t="s">
        <v>2</v>
      </c>
      <c r="E50" s="54">
        <v>0</v>
      </c>
      <c r="F50" s="53">
        <v>200</v>
      </c>
      <c r="G50" s="88">
        <f>50</f>
        <v>50</v>
      </c>
      <c r="H50" s="88">
        <v>2.8</v>
      </c>
      <c r="I50" s="88">
        <f t="shared" si="0"/>
        <v>5.6</v>
      </c>
    </row>
    <row r="51" spans="1:9" ht="15.75" outlineLevel="2">
      <c r="A51" s="37" t="s">
        <v>35</v>
      </c>
      <c r="B51" s="52" t="s">
        <v>39</v>
      </c>
      <c r="C51" s="52" t="s">
        <v>43</v>
      </c>
      <c r="D51" s="52"/>
      <c r="E51" s="54"/>
      <c r="F51" s="53"/>
      <c r="G51" s="88">
        <f aca="true" t="shared" si="1" ref="G51:H53">SUM(G52)</f>
        <v>0</v>
      </c>
      <c r="H51" s="88">
        <f t="shared" si="1"/>
        <v>0</v>
      </c>
      <c r="I51" s="88">
        <v>0</v>
      </c>
    </row>
    <row r="52" spans="1:9" ht="24" outlineLevel="2">
      <c r="A52" s="37" t="s">
        <v>193</v>
      </c>
      <c r="B52" s="52" t="s">
        <v>39</v>
      </c>
      <c r="C52" s="52" t="s">
        <v>43</v>
      </c>
      <c r="D52" s="52" t="s">
        <v>16</v>
      </c>
      <c r="E52" s="54">
        <v>0</v>
      </c>
      <c r="F52" s="53"/>
      <c r="G52" s="88">
        <f t="shared" si="1"/>
        <v>0</v>
      </c>
      <c r="H52" s="88">
        <f t="shared" si="1"/>
        <v>0</v>
      </c>
      <c r="I52" s="88">
        <v>0</v>
      </c>
    </row>
    <row r="53" spans="1:9" ht="24" outlineLevel="2">
      <c r="A53" s="37" t="s">
        <v>150</v>
      </c>
      <c r="B53" s="52" t="s">
        <v>39</v>
      </c>
      <c r="C53" s="52" t="s">
        <v>43</v>
      </c>
      <c r="D53" s="52" t="s">
        <v>16</v>
      </c>
      <c r="E53" s="54">
        <v>0</v>
      </c>
      <c r="F53" s="53"/>
      <c r="G53" s="88">
        <f t="shared" si="1"/>
        <v>0</v>
      </c>
      <c r="H53" s="88">
        <f t="shared" si="1"/>
        <v>0</v>
      </c>
      <c r="I53" s="88">
        <v>0</v>
      </c>
    </row>
    <row r="54" spans="1:9" ht="19.5" customHeight="1" outlineLevel="2">
      <c r="A54" s="37" t="s">
        <v>99</v>
      </c>
      <c r="B54" s="52" t="s">
        <v>39</v>
      </c>
      <c r="C54" s="52" t="s">
        <v>43</v>
      </c>
      <c r="D54" s="52" t="s">
        <v>16</v>
      </c>
      <c r="E54" s="54">
        <v>0</v>
      </c>
      <c r="F54" s="53">
        <v>200</v>
      </c>
      <c r="G54" s="88">
        <v>0</v>
      </c>
      <c r="H54" s="88">
        <v>0</v>
      </c>
      <c r="I54" s="88">
        <v>0</v>
      </c>
    </row>
    <row r="55" spans="1:9" ht="0.75" customHeight="1" hidden="1" outlineLevel="2" collapsed="1">
      <c r="A55" s="37" t="s">
        <v>36</v>
      </c>
      <c r="B55" s="52" t="s">
        <v>39</v>
      </c>
      <c r="C55" s="52" t="s">
        <v>44</v>
      </c>
      <c r="D55" s="52"/>
      <c r="E55" s="54"/>
      <c r="F55" s="53"/>
      <c r="G55" s="88">
        <f aca="true" t="shared" si="2" ref="G55:H57">SUM(G56)</f>
        <v>0</v>
      </c>
      <c r="H55" s="88">
        <f t="shared" si="2"/>
        <v>0</v>
      </c>
      <c r="I55" s="88" t="e">
        <f t="shared" si="0"/>
        <v>#DIV/0!</v>
      </c>
    </row>
    <row r="56" spans="1:9" ht="15.75" hidden="1" outlineLevel="5">
      <c r="A56" s="37" t="s">
        <v>37</v>
      </c>
      <c r="B56" s="52" t="s">
        <v>39</v>
      </c>
      <c r="C56" s="52" t="s">
        <v>44</v>
      </c>
      <c r="D56" s="52" t="s">
        <v>16</v>
      </c>
      <c r="E56" s="54" t="s">
        <v>9</v>
      </c>
      <c r="F56" s="53"/>
      <c r="G56" s="88">
        <f t="shared" si="2"/>
        <v>0</v>
      </c>
      <c r="H56" s="88">
        <f t="shared" si="2"/>
        <v>0</v>
      </c>
      <c r="I56" s="88" t="e">
        <f t="shared" si="0"/>
        <v>#DIV/0!</v>
      </c>
    </row>
    <row r="57" spans="1:9" ht="24" hidden="1" outlineLevel="2">
      <c r="A57" s="37" t="s">
        <v>150</v>
      </c>
      <c r="B57" s="52" t="s">
        <v>39</v>
      </c>
      <c r="C57" s="52" t="s">
        <v>44</v>
      </c>
      <c r="D57" s="52" t="s">
        <v>16</v>
      </c>
      <c r="E57" s="54" t="s">
        <v>9</v>
      </c>
      <c r="F57" s="53"/>
      <c r="G57" s="88">
        <f t="shared" si="2"/>
        <v>0</v>
      </c>
      <c r="H57" s="88">
        <f t="shared" si="2"/>
        <v>0</v>
      </c>
      <c r="I57" s="88" t="e">
        <f t="shared" si="0"/>
        <v>#DIV/0!</v>
      </c>
    </row>
    <row r="58" spans="1:9" ht="24" hidden="1" outlineLevel="5">
      <c r="A58" s="37" t="s">
        <v>99</v>
      </c>
      <c r="B58" s="52" t="s">
        <v>39</v>
      </c>
      <c r="C58" s="52" t="s">
        <v>44</v>
      </c>
      <c r="D58" s="52" t="s">
        <v>16</v>
      </c>
      <c r="E58" s="54">
        <v>0</v>
      </c>
      <c r="F58" s="53">
        <v>200</v>
      </c>
      <c r="G58" s="88">
        <v>0</v>
      </c>
      <c r="H58" s="88">
        <v>0</v>
      </c>
      <c r="I58" s="88" t="e">
        <f t="shared" si="0"/>
        <v>#DIV/0!</v>
      </c>
    </row>
    <row r="59" spans="1:9" ht="15.75" outlineLevel="1">
      <c r="A59" s="37" t="s">
        <v>38</v>
      </c>
      <c r="B59" s="52" t="s">
        <v>39</v>
      </c>
      <c r="C59" s="52" t="s">
        <v>45</v>
      </c>
      <c r="D59" s="52"/>
      <c r="E59" s="54"/>
      <c r="F59" s="53"/>
      <c r="G59" s="88">
        <f>SUM(G60)</f>
        <v>320</v>
      </c>
      <c r="H59" s="88">
        <f>SUM(H60)</f>
        <v>0</v>
      </c>
      <c r="I59" s="88">
        <f t="shared" si="0"/>
        <v>0</v>
      </c>
    </row>
    <row r="60" spans="1:9" ht="29.25" customHeight="1" outlineLevel="2">
      <c r="A60" s="37" t="s">
        <v>150</v>
      </c>
      <c r="B60" s="52" t="s">
        <v>39</v>
      </c>
      <c r="C60" s="52" t="s">
        <v>45</v>
      </c>
      <c r="D60" s="52" t="s">
        <v>16</v>
      </c>
      <c r="E60" s="54" t="s">
        <v>9</v>
      </c>
      <c r="F60" s="53"/>
      <c r="G60" s="88">
        <f>SUM(G61)</f>
        <v>320</v>
      </c>
      <c r="H60" s="88">
        <f>SUM(H61)</f>
        <v>0</v>
      </c>
      <c r="I60" s="88">
        <f t="shared" si="0"/>
        <v>0</v>
      </c>
    </row>
    <row r="61" spans="1:9" ht="15.75" outlineLevel="2">
      <c r="A61" s="37" t="s">
        <v>139</v>
      </c>
      <c r="B61" s="52" t="s">
        <v>39</v>
      </c>
      <c r="C61" s="52" t="s">
        <v>45</v>
      </c>
      <c r="D61" s="52" t="s">
        <v>16</v>
      </c>
      <c r="E61" s="54" t="s">
        <v>9</v>
      </c>
      <c r="F61" s="53">
        <v>800</v>
      </c>
      <c r="G61" s="88">
        <v>320</v>
      </c>
      <c r="H61" s="88">
        <v>0</v>
      </c>
      <c r="I61" s="88">
        <f t="shared" si="0"/>
        <v>0</v>
      </c>
    </row>
    <row r="62" spans="1:9" ht="15.75" outlineLevel="2">
      <c r="A62" s="37" t="s">
        <v>46</v>
      </c>
      <c r="B62" s="52" t="s">
        <v>39</v>
      </c>
      <c r="C62" s="52" t="s">
        <v>29</v>
      </c>
      <c r="D62" s="52"/>
      <c r="E62" s="54"/>
      <c r="F62" s="53"/>
      <c r="G62" s="88">
        <f>SUM(G63+G68+G74+G83+G86+G90+G93+G100+G81+G71+G79+G97)</f>
        <v>45188.33978000001</v>
      </c>
      <c r="H62" s="88">
        <f>SUM(H63+H68+H74+H83+H86+H90+H93+H100+H81+H71+H79+H97)</f>
        <v>40501.12245000001</v>
      </c>
      <c r="I62" s="88">
        <f t="shared" si="0"/>
        <v>89.62737433413183</v>
      </c>
    </row>
    <row r="63" spans="1:9" ht="35.25" customHeight="1" outlineLevel="2">
      <c r="A63" s="37" t="s">
        <v>307</v>
      </c>
      <c r="B63" s="52" t="s">
        <v>39</v>
      </c>
      <c r="C63" s="52" t="s">
        <v>29</v>
      </c>
      <c r="D63" s="52" t="s">
        <v>6</v>
      </c>
      <c r="E63" s="54">
        <v>0</v>
      </c>
      <c r="F63" s="53"/>
      <c r="G63" s="88">
        <f>SUM(G66+G64)</f>
        <v>2191.406</v>
      </c>
      <c r="H63" s="88">
        <f>SUM(H66+H64)</f>
        <v>2191.406</v>
      </c>
      <c r="I63" s="88">
        <f t="shared" si="0"/>
        <v>100</v>
      </c>
    </row>
    <row r="64" spans="1:9" ht="36" outlineLevel="2">
      <c r="A64" s="37" t="s">
        <v>197</v>
      </c>
      <c r="B64" s="52" t="s">
        <v>39</v>
      </c>
      <c r="C64" s="52" t="s">
        <v>29</v>
      </c>
      <c r="D64" s="52" t="s">
        <v>6</v>
      </c>
      <c r="E64" s="54">
        <v>3</v>
      </c>
      <c r="F64" s="53"/>
      <c r="G64" s="88">
        <f>SUM(G65:G65)</f>
        <v>1741.178</v>
      </c>
      <c r="H64" s="88">
        <f>SUM(H65:H65)</f>
        <v>1741.178</v>
      </c>
      <c r="I64" s="88">
        <f t="shared" si="0"/>
        <v>100</v>
      </c>
    </row>
    <row r="65" spans="1:9" ht="24" outlineLevel="2">
      <c r="A65" s="37" t="s">
        <v>151</v>
      </c>
      <c r="B65" s="52" t="s">
        <v>39</v>
      </c>
      <c r="C65" s="52" t="s">
        <v>29</v>
      </c>
      <c r="D65" s="52" t="s">
        <v>6</v>
      </c>
      <c r="E65" s="54">
        <v>3</v>
      </c>
      <c r="F65" s="53">
        <v>600</v>
      </c>
      <c r="G65" s="88">
        <v>1741.178</v>
      </c>
      <c r="H65" s="88">
        <v>1741.178</v>
      </c>
      <c r="I65" s="88">
        <f t="shared" si="0"/>
        <v>100</v>
      </c>
    </row>
    <row r="66" spans="1:9" ht="24" outlineLevel="2">
      <c r="A66" s="37" t="s">
        <v>180</v>
      </c>
      <c r="B66" s="52" t="s">
        <v>39</v>
      </c>
      <c r="C66" s="52" t="s">
        <v>29</v>
      </c>
      <c r="D66" s="52" t="s">
        <v>6</v>
      </c>
      <c r="E66" s="54">
        <v>4</v>
      </c>
      <c r="F66" s="53"/>
      <c r="G66" s="88">
        <f>SUM(G67)</f>
        <v>450.228</v>
      </c>
      <c r="H66" s="88">
        <f>SUM(H67)</f>
        <v>450.228</v>
      </c>
      <c r="I66" s="88">
        <f t="shared" si="0"/>
        <v>100</v>
      </c>
    </row>
    <row r="67" spans="1:9" ht="24" customHeight="1" outlineLevel="2">
      <c r="A67" s="37" t="s">
        <v>151</v>
      </c>
      <c r="B67" s="52" t="s">
        <v>39</v>
      </c>
      <c r="C67" s="52" t="s">
        <v>29</v>
      </c>
      <c r="D67" s="52" t="s">
        <v>6</v>
      </c>
      <c r="E67" s="54">
        <v>4</v>
      </c>
      <c r="F67" s="53">
        <v>600</v>
      </c>
      <c r="G67" s="88">
        <f>150+172.423+47.805+80</f>
        <v>450.228</v>
      </c>
      <c r="H67" s="88">
        <v>450.228</v>
      </c>
      <c r="I67" s="88">
        <f t="shared" si="0"/>
        <v>100</v>
      </c>
    </row>
    <row r="68" spans="1:9" ht="24" customHeight="1" outlineLevel="2">
      <c r="A68" s="38" t="s">
        <v>326</v>
      </c>
      <c r="B68" s="52" t="s">
        <v>39</v>
      </c>
      <c r="C68" s="52" t="s">
        <v>29</v>
      </c>
      <c r="D68" s="52" t="s">
        <v>24</v>
      </c>
      <c r="E68" s="54">
        <v>0</v>
      </c>
      <c r="F68" s="53"/>
      <c r="G68" s="88">
        <f>SUM(G69)</f>
        <v>10.5</v>
      </c>
      <c r="H68" s="88">
        <f>SUM(H69)</f>
        <v>0</v>
      </c>
      <c r="I68" s="88">
        <f t="shared" si="0"/>
        <v>0</v>
      </c>
    </row>
    <row r="69" spans="1:9" ht="24" customHeight="1" outlineLevel="2">
      <c r="A69" s="37" t="s">
        <v>158</v>
      </c>
      <c r="B69" s="52" t="s">
        <v>39</v>
      </c>
      <c r="C69" s="52" t="s">
        <v>29</v>
      </c>
      <c r="D69" s="52" t="s">
        <v>24</v>
      </c>
      <c r="E69" s="54">
        <v>2</v>
      </c>
      <c r="F69" s="53"/>
      <c r="G69" s="88">
        <f>SUM(G70)</f>
        <v>10.5</v>
      </c>
      <c r="H69" s="88">
        <f>SUM(H70)</f>
        <v>0</v>
      </c>
      <c r="I69" s="88">
        <f t="shared" si="0"/>
        <v>0</v>
      </c>
    </row>
    <row r="70" spans="1:9" ht="61.5" customHeight="1" outlineLevel="2">
      <c r="A70" s="37" t="s">
        <v>321</v>
      </c>
      <c r="B70" s="52" t="s">
        <v>39</v>
      </c>
      <c r="C70" s="52" t="s">
        <v>29</v>
      </c>
      <c r="D70" s="52" t="s">
        <v>24</v>
      </c>
      <c r="E70" s="54">
        <v>2</v>
      </c>
      <c r="F70" s="53">
        <v>200</v>
      </c>
      <c r="G70" s="88">
        <v>10.5</v>
      </c>
      <c r="H70" s="88">
        <v>0</v>
      </c>
      <c r="I70" s="88">
        <f t="shared" si="0"/>
        <v>0</v>
      </c>
    </row>
    <row r="71" spans="1:9" ht="15.75" outlineLevel="2">
      <c r="A71" s="37" t="s">
        <v>235</v>
      </c>
      <c r="B71" s="52" t="s">
        <v>39</v>
      </c>
      <c r="C71" s="52" t="s">
        <v>29</v>
      </c>
      <c r="D71" s="52" t="s">
        <v>10</v>
      </c>
      <c r="E71" s="54">
        <v>0</v>
      </c>
      <c r="F71" s="53"/>
      <c r="G71" s="88">
        <f>SUM(G72:G73)</f>
        <v>116.186</v>
      </c>
      <c r="H71" s="88">
        <f>SUM(H72:H73)</f>
        <v>100.686</v>
      </c>
      <c r="I71" s="88">
        <f t="shared" si="0"/>
        <v>86.65932212142599</v>
      </c>
    </row>
    <row r="72" spans="1:9" ht="24" outlineLevel="2">
      <c r="A72" s="37" t="s">
        <v>99</v>
      </c>
      <c r="B72" s="52" t="s">
        <v>39</v>
      </c>
      <c r="C72" s="52" t="s">
        <v>29</v>
      </c>
      <c r="D72" s="52" t="s">
        <v>10</v>
      </c>
      <c r="E72" s="54">
        <v>0</v>
      </c>
      <c r="F72" s="53">
        <v>200</v>
      </c>
      <c r="G72" s="88">
        <f>100+0.686</f>
        <v>100.686</v>
      </c>
      <c r="H72" s="88">
        <v>100.686</v>
      </c>
      <c r="I72" s="88">
        <f t="shared" si="0"/>
        <v>100</v>
      </c>
    </row>
    <row r="73" spans="1:9" ht="72" outlineLevel="2">
      <c r="A73" s="37" t="s">
        <v>329</v>
      </c>
      <c r="B73" s="52" t="s">
        <v>39</v>
      </c>
      <c r="C73" s="52" t="s">
        <v>29</v>
      </c>
      <c r="D73" s="52" t="s">
        <v>10</v>
      </c>
      <c r="E73" s="54">
        <v>0</v>
      </c>
      <c r="F73" s="53">
        <v>200</v>
      </c>
      <c r="G73" s="88">
        <v>15.5</v>
      </c>
      <c r="H73" s="88">
        <v>0</v>
      </c>
      <c r="I73" s="88">
        <f t="shared" si="0"/>
        <v>0</v>
      </c>
    </row>
    <row r="74" spans="1:9" ht="37.5" customHeight="1" outlineLevel="2">
      <c r="A74" s="37" t="s">
        <v>239</v>
      </c>
      <c r="B74" s="52" t="s">
        <v>39</v>
      </c>
      <c r="C74" s="52" t="s">
        <v>29</v>
      </c>
      <c r="D74" s="52" t="s">
        <v>146</v>
      </c>
      <c r="E74" s="54">
        <v>0</v>
      </c>
      <c r="F74" s="53"/>
      <c r="G74" s="88">
        <f>SUM(G75+G77)</f>
        <v>20</v>
      </c>
      <c r="H74" s="88">
        <f>SUM(H75+H77)</f>
        <v>0</v>
      </c>
      <c r="I74" s="88">
        <f t="shared" si="0"/>
        <v>0</v>
      </c>
    </row>
    <row r="75" spans="1:9" ht="20.25" customHeight="1" outlineLevel="2">
      <c r="A75" s="37" t="s">
        <v>248</v>
      </c>
      <c r="B75" s="52" t="s">
        <v>39</v>
      </c>
      <c r="C75" s="52" t="s">
        <v>29</v>
      </c>
      <c r="D75" s="52" t="s">
        <v>146</v>
      </c>
      <c r="E75" s="54">
        <v>1</v>
      </c>
      <c r="F75" s="53"/>
      <c r="G75" s="88">
        <f>SUM(G76)</f>
        <v>10</v>
      </c>
      <c r="H75" s="88">
        <f>SUM(H76)</f>
        <v>0</v>
      </c>
      <c r="I75" s="88">
        <f aca="true" t="shared" si="3" ref="I75:I138">SUM(H75/G75)*100</f>
        <v>0</v>
      </c>
    </row>
    <row r="76" spans="1:9" ht="24" outlineLevel="2">
      <c r="A76" s="37" t="s">
        <v>99</v>
      </c>
      <c r="B76" s="52" t="s">
        <v>39</v>
      </c>
      <c r="C76" s="52" t="s">
        <v>29</v>
      </c>
      <c r="D76" s="52" t="s">
        <v>146</v>
      </c>
      <c r="E76" s="54">
        <v>1</v>
      </c>
      <c r="F76" s="53">
        <v>200</v>
      </c>
      <c r="G76" s="88">
        <f>50-15-25</f>
        <v>10</v>
      </c>
      <c r="H76" s="88">
        <v>0</v>
      </c>
      <c r="I76" s="88">
        <f t="shared" si="3"/>
        <v>0</v>
      </c>
    </row>
    <row r="77" spans="1:9" ht="24" outlineLevel="2">
      <c r="A77" s="37" t="s">
        <v>249</v>
      </c>
      <c r="B77" s="52" t="s">
        <v>39</v>
      </c>
      <c r="C77" s="52" t="s">
        <v>29</v>
      </c>
      <c r="D77" s="52" t="s">
        <v>146</v>
      </c>
      <c r="E77" s="54">
        <v>2</v>
      </c>
      <c r="F77" s="53"/>
      <c r="G77" s="88">
        <f>SUM(G78)</f>
        <v>10</v>
      </c>
      <c r="H77" s="88">
        <f>SUM(H78)</f>
        <v>0</v>
      </c>
      <c r="I77" s="88">
        <f t="shared" si="3"/>
        <v>0</v>
      </c>
    </row>
    <row r="78" spans="1:9" ht="23.25" customHeight="1" outlineLevel="2">
      <c r="A78" s="37" t="s">
        <v>99</v>
      </c>
      <c r="B78" s="52" t="s">
        <v>39</v>
      </c>
      <c r="C78" s="52" t="s">
        <v>29</v>
      </c>
      <c r="D78" s="52" t="s">
        <v>146</v>
      </c>
      <c r="E78" s="54">
        <v>2</v>
      </c>
      <c r="F78" s="53">
        <v>200</v>
      </c>
      <c r="G78" s="88">
        <v>10</v>
      </c>
      <c r="H78" s="88">
        <v>0</v>
      </c>
      <c r="I78" s="88">
        <f t="shared" si="3"/>
        <v>0</v>
      </c>
    </row>
    <row r="79" spans="1:9" ht="24" hidden="1" outlineLevel="2">
      <c r="A79" s="51" t="s">
        <v>214</v>
      </c>
      <c r="B79" s="52" t="s">
        <v>39</v>
      </c>
      <c r="C79" s="52" t="s">
        <v>29</v>
      </c>
      <c r="D79" s="52" t="s">
        <v>213</v>
      </c>
      <c r="E79" s="54">
        <v>0</v>
      </c>
      <c r="F79" s="53"/>
      <c r="G79" s="88">
        <f>SUM(G80)</f>
        <v>0</v>
      </c>
      <c r="H79" s="88">
        <f>SUM(H80)</f>
        <v>0</v>
      </c>
      <c r="I79" s="88" t="e">
        <f t="shared" si="3"/>
        <v>#DIV/0!</v>
      </c>
    </row>
    <row r="80" spans="1:9" ht="24" hidden="1" outlineLevel="2">
      <c r="A80" s="51" t="s">
        <v>99</v>
      </c>
      <c r="B80" s="52" t="s">
        <v>39</v>
      </c>
      <c r="C80" s="52" t="s">
        <v>29</v>
      </c>
      <c r="D80" s="52" t="s">
        <v>213</v>
      </c>
      <c r="E80" s="54">
        <v>0</v>
      </c>
      <c r="F80" s="53">
        <v>200</v>
      </c>
      <c r="G80" s="88">
        <v>0</v>
      </c>
      <c r="H80" s="88">
        <v>0</v>
      </c>
      <c r="I80" s="88" t="e">
        <f t="shared" si="3"/>
        <v>#DIV/0!</v>
      </c>
    </row>
    <row r="81" spans="1:9" ht="35.25" customHeight="1" outlineLevel="2">
      <c r="A81" s="37" t="s">
        <v>241</v>
      </c>
      <c r="B81" s="52" t="s">
        <v>39</v>
      </c>
      <c r="C81" s="52" t="s">
        <v>29</v>
      </c>
      <c r="D81" s="52" t="s">
        <v>178</v>
      </c>
      <c r="E81" s="54">
        <v>0</v>
      </c>
      <c r="F81" s="53"/>
      <c r="G81" s="88">
        <f>SUM(G82)</f>
        <v>10</v>
      </c>
      <c r="H81" s="88">
        <f>SUM(H82)</f>
        <v>0</v>
      </c>
      <c r="I81" s="88">
        <f t="shared" si="3"/>
        <v>0</v>
      </c>
    </row>
    <row r="82" spans="1:9" ht="24" outlineLevel="2">
      <c r="A82" s="37" t="s">
        <v>99</v>
      </c>
      <c r="B82" s="52" t="s">
        <v>39</v>
      </c>
      <c r="C82" s="52" t="s">
        <v>29</v>
      </c>
      <c r="D82" s="52" t="s">
        <v>178</v>
      </c>
      <c r="E82" s="54">
        <v>0</v>
      </c>
      <c r="F82" s="53">
        <v>200</v>
      </c>
      <c r="G82" s="88">
        <v>10</v>
      </c>
      <c r="H82" s="88">
        <v>0</v>
      </c>
      <c r="I82" s="88">
        <f t="shared" si="3"/>
        <v>0</v>
      </c>
    </row>
    <row r="83" spans="1:9" ht="51" customHeight="1" outlineLevel="2">
      <c r="A83" s="37" t="s">
        <v>312</v>
      </c>
      <c r="B83" s="52" t="s">
        <v>39</v>
      </c>
      <c r="C83" s="52" t="s">
        <v>29</v>
      </c>
      <c r="D83" s="52" t="s">
        <v>14</v>
      </c>
      <c r="E83" s="54">
        <v>0</v>
      </c>
      <c r="F83" s="53"/>
      <c r="G83" s="88">
        <f>SUM(G84:G85)</f>
        <v>39759.18688</v>
      </c>
      <c r="H83" s="88">
        <f>SUM(H84:H85)</f>
        <v>36186.72353</v>
      </c>
      <c r="I83" s="88">
        <f t="shared" si="3"/>
        <v>91.01474745753151</v>
      </c>
    </row>
    <row r="84" spans="1:9" ht="23.25" customHeight="1" outlineLevel="2">
      <c r="A84" s="37" t="s">
        <v>151</v>
      </c>
      <c r="B84" s="52" t="s">
        <v>39</v>
      </c>
      <c r="C84" s="52" t="s">
        <v>29</v>
      </c>
      <c r="D84" s="52" t="s">
        <v>14</v>
      </c>
      <c r="E84" s="54">
        <v>0</v>
      </c>
      <c r="F84" s="53">
        <v>600</v>
      </c>
      <c r="G84" s="88">
        <f>20200+10629.8+170.2-1000-500+4500+1192+4298.5</f>
        <v>39490.5</v>
      </c>
      <c r="H84" s="88">
        <v>35918.03665</v>
      </c>
      <c r="I84" s="88">
        <f t="shared" si="3"/>
        <v>90.95361327407858</v>
      </c>
    </row>
    <row r="85" spans="1:9" ht="35.25" customHeight="1" outlineLevel="2">
      <c r="A85" s="37" t="s">
        <v>275</v>
      </c>
      <c r="B85" s="52" t="s">
        <v>39</v>
      </c>
      <c r="C85" s="52" t="s">
        <v>29</v>
      </c>
      <c r="D85" s="52" t="s">
        <v>14</v>
      </c>
      <c r="E85" s="54">
        <v>0</v>
      </c>
      <c r="F85" s="53">
        <v>600</v>
      </c>
      <c r="G85" s="88">
        <f>1020-751.31312</f>
        <v>268.68688</v>
      </c>
      <c r="H85" s="88">
        <v>268.68688</v>
      </c>
      <c r="I85" s="88">
        <f t="shared" si="3"/>
        <v>100</v>
      </c>
    </row>
    <row r="86" spans="1:9" ht="15.75" outlineLevel="2">
      <c r="A86" s="37" t="s">
        <v>225</v>
      </c>
      <c r="B86" s="52" t="s">
        <v>39</v>
      </c>
      <c r="C86" s="52" t="s">
        <v>29</v>
      </c>
      <c r="D86" s="52"/>
      <c r="E86" s="54"/>
      <c r="F86" s="53"/>
      <c r="G86" s="88">
        <f>SUM(G87)</f>
        <v>1178.4</v>
      </c>
      <c r="H86" s="88">
        <f>SUM(H87)</f>
        <v>840.5763</v>
      </c>
      <c r="I86" s="88">
        <f t="shared" si="3"/>
        <v>71.33200101832993</v>
      </c>
    </row>
    <row r="87" spans="1:9" ht="26.25" customHeight="1" outlineLevel="2">
      <c r="A87" s="37" t="s">
        <v>100</v>
      </c>
      <c r="B87" s="52" t="s">
        <v>39</v>
      </c>
      <c r="C87" s="52" t="s">
        <v>29</v>
      </c>
      <c r="D87" s="52" t="s">
        <v>11</v>
      </c>
      <c r="E87" s="54">
        <v>0</v>
      </c>
      <c r="F87" s="53"/>
      <c r="G87" s="88">
        <f>SUM(G88:G89)</f>
        <v>1178.4</v>
      </c>
      <c r="H87" s="88">
        <f>SUM(H88:H89)</f>
        <v>840.5763</v>
      </c>
      <c r="I87" s="88">
        <f t="shared" si="3"/>
        <v>71.33200101832993</v>
      </c>
    </row>
    <row r="88" spans="1:9" ht="50.25" customHeight="1" outlineLevel="2">
      <c r="A88" s="37" t="s">
        <v>98</v>
      </c>
      <c r="B88" s="52" t="s">
        <v>39</v>
      </c>
      <c r="C88" s="52" t="s">
        <v>29</v>
      </c>
      <c r="D88" s="52" t="s">
        <v>11</v>
      </c>
      <c r="E88" s="54" t="s">
        <v>9</v>
      </c>
      <c r="F88" s="53">
        <v>100</v>
      </c>
      <c r="G88" s="88">
        <v>1058.6</v>
      </c>
      <c r="H88" s="88">
        <v>757.8049</v>
      </c>
      <c r="I88" s="88">
        <f t="shared" si="3"/>
        <v>71.58557528811639</v>
      </c>
    </row>
    <row r="89" spans="1:9" ht="24" outlineLevel="2">
      <c r="A89" s="37" t="s">
        <v>99</v>
      </c>
      <c r="B89" s="52" t="s">
        <v>39</v>
      </c>
      <c r="C89" s="52" t="s">
        <v>29</v>
      </c>
      <c r="D89" s="52" t="s">
        <v>11</v>
      </c>
      <c r="E89" s="54" t="s">
        <v>9</v>
      </c>
      <c r="F89" s="53">
        <v>200</v>
      </c>
      <c r="G89" s="88">
        <f>1178.4-G88</f>
        <v>119.80000000000018</v>
      </c>
      <c r="H89" s="88">
        <v>82.7714</v>
      </c>
      <c r="I89" s="88">
        <f t="shared" si="3"/>
        <v>69.09131886477452</v>
      </c>
    </row>
    <row r="90" spans="1:9" ht="27.75" customHeight="1" outlineLevel="2">
      <c r="A90" s="37" t="s">
        <v>220</v>
      </c>
      <c r="B90" s="52" t="s">
        <v>39</v>
      </c>
      <c r="C90" s="52" t="s">
        <v>29</v>
      </c>
      <c r="D90" s="52" t="s">
        <v>16</v>
      </c>
      <c r="E90" s="54">
        <v>0</v>
      </c>
      <c r="F90" s="53"/>
      <c r="G90" s="88">
        <f>SUM(G91)</f>
        <v>100</v>
      </c>
      <c r="H90" s="88">
        <f>SUM(H91)</f>
        <v>100</v>
      </c>
      <c r="I90" s="88">
        <f t="shared" si="3"/>
        <v>100</v>
      </c>
    </row>
    <row r="91" spans="1:9" ht="25.5" customHeight="1" outlineLevel="2">
      <c r="A91" s="37" t="s">
        <v>150</v>
      </c>
      <c r="B91" s="52" t="s">
        <v>39</v>
      </c>
      <c r="C91" s="52" t="s">
        <v>29</v>
      </c>
      <c r="D91" s="52" t="s">
        <v>16</v>
      </c>
      <c r="E91" s="54" t="s">
        <v>9</v>
      </c>
      <c r="F91" s="53"/>
      <c r="G91" s="88">
        <f>SUM(G92)</f>
        <v>100</v>
      </c>
      <c r="H91" s="88">
        <f>SUM(H92)</f>
        <v>100</v>
      </c>
      <c r="I91" s="88">
        <f t="shared" si="3"/>
        <v>100</v>
      </c>
    </row>
    <row r="92" spans="1:9" ht="24" outlineLevel="5">
      <c r="A92" s="37" t="s">
        <v>99</v>
      </c>
      <c r="B92" s="52" t="s">
        <v>39</v>
      </c>
      <c r="C92" s="52" t="s">
        <v>29</v>
      </c>
      <c r="D92" s="52" t="s">
        <v>16</v>
      </c>
      <c r="E92" s="54" t="s">
        <v>9</v>
      </c>
      <c r="F92" s="53">
        <v>200</v>
      </c>
      <c r="G92" s="88">
        <v>100</v>
      </c>
      <c r="H92" s="88">
        <v>100</v>
      </c>
      <c r="I92" s="88">
        <f t="shared" si="3"/>
        <v>100</v>
      </c>
    </row>
    <row r="93" spans="1:9" ht="24" outlineLevel="5">
      <c r="A93" s="37" t="s">
        <v>219</v>
      </c>
      <c r="B93" s="52" t="s">
        <v>39</v>
      </c>
      <c r="C93" s="52" t="s">
        <v>29</v>
      </c>
      <c r="D93" s="52" t="s">
        <v>16</v>
      </c>
      <c r="E93" s="54">
        <v>0</v>
      </c>
      <c r="F93" s="53"/>
      <c r="G93" s="88">
        <f>SUM(G94)</f>
        <v>1802.6608999999999</v>
      </c>
      <c r="H93" s="88">
        <f>SUM(H94)</f>
        <v>1081.73062</v>
      </c>
      <c r="I93" s="88">
        <f t="shared" si="3"/>
        <v>60.00743789361604</v>
      </c>
    </row>
    <row r="94" spans="1:9" ht="24.75" customHeight="1" outlineLevel="5">
      <c r="A94" s="37" t="s">
        <v>150</v>
      </c>
      <c r="B94" s="52" t="s">
        <v>39</v>
      </c>
      <c r="C94" s="52" t="s">
        <v>29</v>
      </c>
      <c r="D94" s="52" t="s">
        <v>16</v>
      </c>
      <c r="E94" s="54" t="s">
        <v>9</v>
      </c>
      <c r="F94" s="53"/>
      <c r="G94" s="88">
        <f>SUM(G95:G96)</f>
        <v>1802.6608999999999</v>
      </c>
      <c r="H94" s="88">
        <f>SUM(H95:H96)</f>
        <v>1081.73062</v>
      </c>
      <c r="I94" s="88">
        <f t="shared" si="3"/>
        <v>60.00743789361604</v>
      </c>
    </row>
    <row r="95" spans="1:9" ht="24" outlineLevel="5">
      <c r="A95" s="37" t="s">
        <v>99</v>
      </c>
      <c r="B95" s="52" t="s">
        <v>39</v>
      </c>
      <c r="C95" s="52" t="s">
        <v>29</v>
      </c>
      <c r="D95" s="52" t="s">
        <v>16</v>
      </c>
      <c r="E95" s="54">
        <v>0</v>
      </c>
      <c r="F95" s="53">
        <v>200</v>
      </c>
      <c r="G95" s="88">
        <f>305.40694-70.2+2000-1685.25-0.00022+0.022-59.95982+59.95982+5.76818-84.8-59.186</f>
        <v>411.7609000000001</v>
      </c>
      <c r="H95" s="88">
        <v>335.02677</v>
      </c>
      <c r="I95" s="88">
        <f t="shared" si="3"/>
        <v>81.36439618234755</v>
      </c>
    </row>
    <row r="96" spans="1:9" ht="15.75" outlineLevel="5">
      <c r="A96" s="37" t="s">
        <v>139</v>
      </c>
      <c r="B96" s="52" t="s">
        <v>39</v>
      </c>
      <c r="C96" s="52" t="s">
        <v>29</v>
      </c>
      <c r="D96" s="52" t="s">
        <v>16</v>
      </c>
      <c r="E96" s="54">
        <v>0</v>
      </c>
      <c r="F96" s="53">
        <v>800</v>
      </c>
      <c r="G96" s="88">
        <f>1000+200+36+84.8+11.6+58.5</f>
        <v>1390.8999999999999</v>
      </c>
      <c r="H96" s="88">
        <v>746.70385</v>
      </c>
      <c r="I96" s="88">
        <f t="shared" si="3"/>
        <v>53.68494140484579</v>
      </c>
    </row>
    <row r="97" spans="1:9" ht="24" hidden="1" outlineLevel="5">
      <c r="A97" s="37" t="s">
        <v>301</v>
      </c>
      <c r="B97" s="52" t="s">
        <v>39</v>
      </c>
      <c r="C97" s="52" t="s">
        <v>29</v>
      </c>
      <c r="D97" s="52" t="s">
        <v>16</v>
      </c>
      <c r="E97" s="54">
        <v>0</v>
      </c>
      <c r="F97" s="53"/>
      <c r="G97" s="88">
        <f>SUM(G98)</f>
        <v>0</v>
      </c>
      <c r="H97" s="88">
        <f>SUM(H98)</f>
        <v>0</v>
      </c>
      <c r="I97" s="88" t="e">
        <f t="shared" si="3"/>
        <v>#DIV/0!</v>
      </c>
    </row>
    <row r="98" spans="1:9" ht="24" hidden="1" outlineLevel="5">
      <c r="A98" s="37" t="s">
        <v>150</v>
      </c>
      <c r="B98" s="52" t="s">
        <v>39</v>
      </c>
      <c r="C98" s="52" t="s">
        <v>29</v>
      </c>
      <c r="D98" s="52" t="s">
        <v>16</v>
      </c>
      <c r="E98" s="54" t="s">
        <v>9</v>
      </c>
      <c r="F98" s="53"/>
      <c r="G98" s="88">
        <f>SUM(G99)</f>
        <v>0</v>
      </c>
      <c r="H98" s="88">
        <f>SUM(H99)</f>
        <v>0</v>
      </c>
      <c r="I98" s="88" t="e">
        <f t="shared" si="3"/>
        <v>#DIV/0!</v>
      </c>
    </row>
    <row r="99" spans="1:9" ht="24" hidden="1" outlineLevel="5">
      <c r="A99" s="37" t="s">
        <v>99</v>
      </c>
      <c r="B99" s="52" t="s">
        <v>39</v>
      </c>
      <c r="C99" s="52" t="s">
        <v>29</v>
      </c>
      <c r="D99" s="52" t="s">
        <v>16</v>
      </c>
      <c r="E99" s="54">
        <v>0</v>
      </c>
      <c r="F99" s="53">
        <v>200</v>
      </c>
      <c r="G99" s="88">
        <v>0</v>
      </c>
      <c r="H99" s="88">
        <v>0</v>
      </c>
      <c r="I99" s="88" t="e">
        <f t="shared" si="3"/>
        <v>#DIV/0!</v>
      </c>
    </row>
    <row r="100" spans="1:9" ht="15.75" outlineLevel="5">
      <c r="A100" s="37" t="s">
        <v>47</v>
      </c>
      <c r="B100" s="52" t="s">
        <v>39</v>
      </c>
      <c r="C100" s="52" t="s">
        <v>29</v>
      </c>
      <c r="D100" s="52" t="s">
        <v>16</v>
      </c>
      <c r="E100" s="54">
        <v>0</v>
      </c>
      <c r="F100" s="53"/>
      <c r="G100" s="88">
        <v>0</v>
      </c>
      <c r="H100" s="88">
        <v>0</v>
      </c>
      <c r="I100" s="88">
        <v>0</v>
      </c>
    </row>
    <row r="101" spans="1:9" ht="15.75" outlineLevel="1">
      <c r="A101" s="37" t="s">
        <v>48</v>
      </c>
      <c r="B101" s="52" t="s">
        <v>39</v>
      </c>
      <c r="C101" s="52" t="s">
        <v>110</v>
      </c>
      <c r="D101" s="52"/>
      <c r="E101" s="54"/>
      <c r="F101" s="53"/>
      <c r="G101" s="88">
        <f aca="true" t="shared" si="4" ref="G101:H104">SUM(G102)</f>
        <v>20</v>
      </c>
      <c r="H101" s="88">
        <f t="shared" si="4"/>
        <v>1.4565</v>
      </c>
      <c r="I101" s="88">
        <f t="shared" si="3"/>
        <v>7.2825</v>
      </c>
    </row>
    <row r="102" spans="1:9" ht="15.75" outlineLevel="2">
      <c r="A102" s="37" t="s">
        <v>49</v>
      </c>
      <c r="B102" s="52" t="s">
        <v>39</v>
      </c>
      <c r="C102" s="52" t="s">
        <v>50</v>
      </c>
      <c r="D102" s="52"/>
      <c r="E102" s="54"/>
      <c r="F102" s="53"/>
      <c r="G102" s="88">
        <f t="shared" si="4"/>
        <v>20</v>
      </c>
      <c r="H102" s="88">
        <f t="shared" si="4"/>
        <v>1.4565</v>
      </c>
      <c r="I102" s="88">
        <f t="shared" si="3"/>
        <v>7.2825</v>
      </c>
    </row>
    <row r="103" spans="1:9" ht="24" outlineLevel="5">
      <c r="A103" s="37" t="s">
        <v>17</v>
      </c>
      <c r="B103" s="52" t="s">
        <v>39</v>
      </c>
      <c r="C103" s="52" t="s">
        <v>50</v>
      </c>
      <c r="D103" s="52"/>
      <c r="E103" s="54"/>
      <c r="F103" s="53"/>
      <c r="G103" s="88">
        <f t="shared" si="4"/>
        <v>20</v>
      </c>
      <c r="H103" s="88">
        <f t="shared" si="4"/>
        <v>1.4565</v>
      </c>
      <c r="I103" s="88">
        <f t="shared" si="3"/>
        <v>7.2825</v>
      </c>
    </row>
    <row r="104" spans="1:9" ht="27" customHeight="1" outlineLevel="5">
      <c r="A104" s="37" t="s">
        <v>150</v>
      </c>
      <c r="B104" s="52" t="s">
        <v>39</v>
      </c>
      <c r="C104" s="52" t="s">
        <v>50</v>
      </c>
      <c r="D104" s="52" t="s">
        <v>16</v>
      </c>
      <c r="E104" s="54">
        <v>0</v>
      </c>
      <c r="F104" s="53"/>
      <c r="G104" s="88">
        <f t="shared" si="4"/>
        <v>20</v>
      </c>
      <c r="H104" s="88">
        <f t="shared" si="4"/>
        <v>1.4565</v>
      </c>
      <c r="I104" s="88">
        <f t="shared" si="3"/>
        <v>7.2825</v>
      </c>
    </row>
    <row r="105" spans="1:9" ht="24" outlineLevel="5">
      <c r="A105" s="37" t="s">
        <v>99</v>
      </c>
      <c r="B105" s="52" t="s">
        <v>39</v>
      </c>
      <c r="C105" s="52" t="s">
        <v>50</v>
      </c>
      <c r="D105" s="52" t="s">
        <v>16</v>
      </c>
      <c r="E105" s="54">
        <v>0</v>
      </c>
      <c r="F105" s="53">
        <v>200</v>
      </c>
      <c r="G105" s="88">
        <v>20</v>
      </c>
      <c r="H105" s="88">
        <v>1.4565</v>
      </c>
      <c r="I105" s="88">
        <f t="shared" si="3"/>
        <v>7.2825</v>
      </c>
    </row>
    <row r="106" spans="1:9" ht="15.75" outlineLevel="5">
      <c r="A106" s="37" t="s">
        <v>115</v>
      </c>
      <c r="B106" s="52" t="s">
        <v>39</v>
      </c>
      <c r="C106" s="52" t="s">
        <v>111</v>
      </c>
      <c r="D106" s="52"/>
      <c r="E106" s="54"/>
      <c r="F106" s="53"/>
      <c r="G106" s="88">
        <f>SUM(G107+G110)</f>
        <v>70</v>
      </c>
      <c r="H106" s="88">
        <f>SUM(H107+H110)</f>
        <v>0</v>
      </c>
      <c r="I106" s="88">
        <f t="shared" si="3"/>
        <v>0</v>
      </c>
    </row>
    <row r="107" spans="1:9" ht="15.75" outlineLevel="5">
      <c r="A107" s="37" t="s">
        <v>286</v>
      </c>
      <c r="B107" s="52" t="s">
        <v>39</v>
      </c>
      <c r="C107" s="52" t="s">
        <v>51</v>
      </c>
      <c r="D107" s="52"/>
      <c r="E107" s="54"/>
      <c r="F107" s="53"/>
      <c r="G107" s="88">
        <f>SUM(G108)</f>
        <v>20</v>
      </c>
      <c r="H107" s="88">
        <f>SUM(H108)</f>
        <v>0</v>
      </c>
      <c r="I107" s="88">
        <f t="shared" si="3"/>
        <v>0</v>
      </c>
    </row>
    <row r="108" spans="1:9" ht="24" outlineLevel="5">
      <c r="A108" s="37" t="s">
        <v>150</v>
      </c>
      <c r="B108" s="52" t="s">
        <v>39</v>
      </c>
      <c r="C108" s="52" t="s">
        <v>51</v>
      </c>
      <c r="D108" s="52" t="s">
        <v>16</v>
      </c>
      <c r="E108" s="54">
        <v>0</v>
      </c>
      <c r="F108" s="53"/>
      <c r="G108" s="88">
        <f>SUM(G109)</f>
        <v>20</v>
      </c>
      <c r="H108" s="88">
        <f>SUM(H109)</f>
        <v>0</v>
      </c>
      <c r="I108" s="88">
        <f t="shared" si="3"/>
        <v>0</v>
      </c>
    </row>
    <row r="109" spans="1:9" ht="24" outlineLevel="5">
      <c r="A109" s="37" t="s">
        <v>99</v>
      </c>
      <c r="B109" s="52" t="s">
        <v>39</v>
      </c>
      <c r="C109" s="52" t="s">
        <v>51</v>
      </c>
      <c r="D109" s="52" t="s">
        <v>16</v>
      </c>
      <c r="E109" s="54">
        <v>0</v>
      </c>
      <c r="F109" s="53">
        <v>200</v>
      </c>
      <c r="G109" s="88">
        <v>20</v>
      </c>
      <c r="H109" s="88">
        <v>0</v>
      </c>
      <c r="I109" s="88">
        <f t="shared" si="3"/>
        <v>0</v>
      </c>
    </row>
    <row r="110" spans="1:9" ht="30" customHeight="1" outlineLevel="1">
      <c r="A110" s="37" t="s">
        <v>284</v>
      </c>
      <c r="B110" s="52" t="s">
        <v>39</v>
      </c>
      <c r="C110" s="52" t="s">
        <v>285</v>
      </c>
      <c r="D110" s="52"/>
      <c r="E110" s="54"/>
      <c r="F110" s="53"/>
      <c r="G110" s="88">
        <f>SUM(G111)</f>
        <v>50</v>
      </c>
      <c r="H110" s="88">
        <f>SUM(H111)</f>
        <v>0</v>
      </c>
      <c r="I110" s="88">
        <f t="shared" si="3"/>
        <v>0</v>
      </c>
    </row>
    <row r="111" spans="1:9" ht="24.75" customHeight="1" outlineLevel="2">
      <c r="A111" s="37" t="s">
        <v>150</v>
      </c>
      <c r="B111" s="52" t="s">
        <v>39</v>
      </c>
      <c r="C111" s="52" t="s">
        <v>285</v>
      </c>
      <c r="D111" s="52" t="s">
        <v>16</v>
      </c>
      <c r="E111" s="54">
        <v>0</v>
      </c>
      <c r="F111" s="53"/>
      <c r="G111" s="88">
        <f>SUM(G112)</f>
        <v>50</v>
      </c>
      <c r="H111" s="88">
        <f>SUM(H112)</f>
        <v>0</v>
      </c>
      <c r="I111" s="88">
        <f t="shared" si="3"/>
        <v>0</v>
      </c>
    </row>
    <row r="112" spans="1:9" ht="24" outlineLevel="3">
      <c r="A112" s="37" t="s">
        <v>99</v>
      </c>
      <c r="B112" s="52" t="s">
        <v>39</v>
      </c>
      <c r="C112" s="52" t="s">
        <v>285</v>
      </c>
      <c r="D112" s="52" t="s">
        <v>16</v>
      </c>
      <c r="E112" s="54">
        <v>0</v>
      </c>
      <c r="F112" s="53">
        <v>200</v>
      </c>
      <c r="G112" s="88">
        <f>50+10-10</f>
        <v>50</v>
      </c>
      <c r="H112" s="88">
        <v>0</v>
      </c>
      <c r="I112" s="88">
        <f t="shared" si="3"/>
        <v>0</v>
      </c>
    </row>
    <row r="113" spans="1:9" ht="15" customHeight="1" outlineLevel="3">
      <c r="A113" s="37" t="s">
        <v>116</v>
      </c>
      <c r="B113" s="52" t="s">
        <v>39</v>
      </c>
      <c r="C113" s="52" t="s">
        <v>59</v>
      </c>
      <c r="D113" s="52"/>
      <c r="E113" s="54"/>
      <c r="F113" s="53"/>
      <c r="G113" s="96">
        <f>SUM(G114+G118+G126)</f>
        <v>25684.40628</v>
      </c>
      <c r="H113" s="96">
        <f>SUM(H114+H118+H126)</f>
        <v>16361.111</v>
      </c>
      <c r="I113" s="88">
        <f t="shared" si="3"/>
        <v>63.70056142874564</v>
      </c>
    </row>
    <row r="114" spans="1:9" ht="15.75" outlineLevel="3">
      <c r="A114" s="37" t="s">
        <v>140</v>
      </c>
      <c r="B114" s="52" t="s">
        <v>39</v>
      </c>
      <c r="C114" s="52" t="s">
        <v>141</v>
      </c>
      <c r="D114" s="52"/>
      <c r="E114" s="54"/>
      <c r="F114" s="53"/>
      <c r="G114" s="88">
        <f aca="true" t="shared" si="5" ref="G114:H116">SUM(G115)</f>
        <v>143.5</v>
      </c>
      <c r="H114" s="88">
        <f t="shared" si="5"/>
        <v>143.5</v>
      </c>
      <c r="I114" s="88">
        <f t="shared" si="3"/>
        <v>100</v>
      </c>
    </row>
    <row r="115" spans="1:9" ht="48" outlineLevel="3">
      <c r="A115" s="37" t="s">
        <v>221</v>
      </c>
      <c r="B115" s="52" t="s">
        <v>39</v>
      </c>
      <c r="C115" s="52" t="s">
        <v>141</v>
      </c>
      <c r="D115" s="52" t="s">
        <v>16</v>
      </c>
      <c r="E115" s="54">
        <v>0</v>
      </c>
      <c r="F115" s="53"/>
      <c r="G115" s="88">
        <f t="shared" si="5"/>
        <v>143.5</v>
      </c>
      <c r="H115" s="88">
        <f t="shared" si="5"/>
        <v>143.5</v>
      </c>
      <c r="I115" s="88">
        <f t="shared" si="3"/>
        <v>100</v>
      </c>
    </row>
    <row r="116" spans="1:9" ht="24" outlineLevel="3">
      <c r="A116" s="37" t="s">
        <v>150</v>
      </c>
      <c r="B116" s="52" t="s">
        <v>39</v>
      </c>
      <c r="C116" s="52" t="s">
        <v>141</v>
      </c>
      <c r="D116" s="52" t="s">
        <v>16</v>
      </c>
      <c r="E116" s="54">
        <v>0</v>
      </c>
      <c r="F116" s="53"/>
      <c r="G116" s="88">
        <f t="shared" si="5"/>
        <v>143.5</v>
      </c>
      <c r="H116" s="88">
        <f t="shared" si="5"/>
        <v>143.5</v>
      </c>
      <c r="I116" s="88">
        <f t="shared" si="3"/>
        <v>100</v>
      </c>
    </row>
    <row r="117" spans="1:9" ht="21.75" customHeight="1" outlineLevel="3">
      <c r="A117" s="37" t="s">
        <v>99</v>
      </c>
      <c r="B117" s="52" t="s">
        <v>39</v>
      </c>
      <c r="C117" s="52" t="s">
        <v>141</v>
      </c>
      <c r="D117" s="52" t="s">
        <v>16</v>
      </c>
      <c r="E117" s="54">
        <v>0</v>
      </c>
      <c r="F117" s="53">
        <v>200</v>
      </c>
      <c r="G117" s="88">
        <v>143.5</v>
      </c>
      <c r="H117" s="88">
        <v>143.5</v>
      </c>
      <c r="I117" s="88">
        <f t="shared" si="3"/>
        <v>100</v>
      </c>
    </row>
    <row r="118" spans="1:9" ht="15.75">
      <c r="A118" s="37" t="s">
        <v>117</v>
      </c>
      <c r="B118" s="52" t="s">
        <v>39</v>
      </c>
      <c r="C118" s="52" t="s">
        <v>52</v>
      </c>
      <c r="D118" s="52"/>
      <c r="E118" s="54"/>
      <c r="F118" s="53"/>
      <c r="G118" s="96">
        <f>SUM(G119+G124)</f>
        <v>24061.30808</v>
      </c>
      <c r="H118" s="96">
        <f>SUM(H119+H124)</f>
        <v>15808.611</v>
      </c>
      <c r="I118" s="88">
        <f t="shared" si="3"/>
        <v>65.70137811061186</v>
      </c>
    </row>
    <row r="119" spans="1:9" ht="38.25" customHeight="1" outlineLevel="1">
      <c r="A119" s="37" t="s">
        <v>260</v>
      </c>
      <c r="B119" s="52" t="s">
        <v>39</v>
      </c>
      <c r="C119" s="52" t="s">
        <v>52</v>
      </c>
      <c r="D119" s="52" t="s">
        <v>144</v>
      </c>
      <c r="E119" s="54">
        <v>0</v>
      </c>
      <c r="F119" s="55"/>
      <c r="G119" s="88">
        <f>SUM(G120:G123)</f>
        <v>24061.30808</v>
      </c>
      <c r="H119" s="88">
        <f>SUM(H120:H123)</f>
        <v>15808.611</v>
      </c>
      <c r="I119" s="88">
        <f t="shared" si="3"/>
        <v>65.70137811061186</v>
      </c>
    </row>
    <row r="120" spans="1:9" ht="24" outlineLevel="2">
      <c r="A120" s="37" t="s">
        <v>99</v>
      </c>
      <c r="B120" s="52" t="s">
        <v>39</v>
      </c>
      <c r="C120" s="52" t="s">
        <v>52</v>
      </c>
      <c r="D120" s="52" t="s">
        <v>144</v>
      </c>
      <c r="E120" s="54">
        <v>0</v>
      </c>
      <c r="F120" s="55">
        <v>200</v>
      </c>
      <c r="G120" s="88">
        <f>10191.5-53.27275-4500-400+23.07897</f>
        <v>5261.3062199999995</v>
      </c>
      <c r="H120" s="88">
        <v>0</v>
      </c>
      <c r="I120" s="88">
        <f t="shared" si="3"/>
        <v>0</v>
      </c>
    </row>
    <row r="121" spans="1:9" ht="15.75" customHeight="1" outlineLevel="2">
      <c r="A121" s="37" t="s">
        <v>289</v>
      </c>
      <c r="B121" s="52" t="s">
        <v>39</v>
      </c>
      <c r="C121" s="52" t="s">
        <v>52</v>
      </c>
      <c r="D121" s="52" t="s">
        <v>144</v>
      </c>
      <c r="E121" s="54">
        <v>0</v>
      </c>
      <c r="F121" s="55">
        <v>200</v>
      </c>
      <c r="G121" s="88">
        <f>10689+8000-1800-3615-2284.81828</f>
        <v>10989.18172</v>
      </c>
      <c r="H121" s="88">
        <v>10445.09766</v>
      </c>
      <c r="I121" s="88">
        <f t="shared" si="3"/>
        <v>95.04891197667808</v>
      </c>
    </row>
    <row r="122" spans="1:9" ht="36" outlineLevel="2">
      <c r="A122" s="37" t="s">
        <v>290</v>
      </c>
      <c r="B122" s="52" t="s">
        <v>39</v>
      </c>
      <c r="C122" s="52" t="s">
        <v>52</v>
      </c>
      <c r="D122" s="52" t="s">
        <v>144</v>
      </c>
      <c r="E122" s="54">
        <v>0</v>
      </c>
      <c r="F122" s="55">
        <v>200</v>
      </c>
      <c r="G122" s="88">
        <f>80.80808+53.27275-23.07897</f>
        <v>111.00186</v>
      </c>
      <c r="H122" s="88">
        <v>105.50604</v>
      </c>
      <c r="I122" s="88">
        <f t="shared" si="3"/>
        <v>95.0488937752935</v>
      </c>
    </row>
    <row r="123" spans="1:9" ht="29.25" customHeight="1" outlineLevel="2" collapsed="1">
      <c r="A123" s="37" t="s">
        <v>256</v>
      </c>
      <c r="B123" s="52" t="s">
        <v>39</v>
      </c>
      <c r="C123" s="52" t="s">
        <v>52</v>
      </c>
      <c r="D123" s="52" t="s">
        <v>144</v>
      </c>
      <c r="E123" s="54">
        <v>0</v>
      </c>
      <c r="F123" s="55">
        <v>500</v>
      </c>
      <c r="G123" s="88">
        <f>1800+3615+2284.81828</f>
        <v>7699.8182799999995</v>
      </c>
      <c r="H123" s="88">
        <v>5258.0073</v>
      </c>
      <c r="I123" s="88">
        <f t="shared" si="3"/>
        <v>68.28742067403701</v>
      </c>
    </row>
    <row r="124" spans="1:9" ht="1.5" customHeight="1" hidden="1" outlineLevel="3">
      <c r="A124" s="37" t="s">
        <v>261</v>
      </c>
      <c r="B124" s="52" t="s">
        <v>39</v>
      </c>
      <c r="C124" s="52" t="s">
        <v>52</v>
      </c>
      <c r="D124" s="52" t="s">
        <v>12</v>
      </c>
      <c r="E124" s="54">
        <v>0</v>
      </c>
      <c r="F124" s="53"/>
      <c r="G124" s="88">
        <f>SUM(G125)</f>
        <v>0</v>
      </c>
      <c r="H124" s="88">
        <f>SUM(H125)</f>
        <v>0</v>
      </c>
      <c r="I124" s="88" t="e">
        <f t="shared" si="3"/>
        <v>#DIV/0!</v>
      </c>
    </row>
    <row r="125" spans="1:9" ht="24" hidden="1" outlineLevel="3">
      <c r="A125" s="37" t="s">
        <v>151</v>
      </c>
      <c r="B125" s="52" t="s">
        <v>39</v>
      </c>
      <c r="C125" s="52" t="s">
        <v>52</v>
      </c>
      <c r="D125" s="52" t="s">
        <v>12</v>
      </c>
      <c r="E125" s="54">
        <v>0</v>
      </c>
      <c r="F125" s="53">
        <v>600</v>
      </c>
      <c r="G125" s="88">
        <v>0</v>
      </c>
      <c r="H125" s="88">
        <v>0</v>
      </c>
      <c r="I125" s="88" t="e">
        <f t="shared" si="3"/>
        <v>#DIV/0!</v>
      </c>
    </row>
    <row r="126" spans="1:9" ht="15.75" outlineLevel="3">
      <c r="A126" s="37" t="s">
        <v>118</v>
      </c>
      <c r="B126" s="52" t="s">
        <v>39</v>
      </c>
      <c r="C126" s="52" t="s">
        <v>53</v>
      </c>
      <c r="D126" s="52"/>
      <c r="E126" s="54"/>
      <c r="F126" s="53"/>
      <c r="G126" s="88">
        <f>SUM(G127+G131)</f>
        <v>1479.5982</v>
      </c>
      <c r="H126" s="88">
        <f>SUM(H127+H131)</f>
        <v>409</v>
      </c>
      <c r="I126" s="88">
        <f t="shared" si="3"/>
        <v>27.642639738274895</v>
      </c>
    </row>
    <row r="127" spans="1:9" ht="34.5" customHeight="1" outlineLevel="3">
      <c r="A127" s="37" t="s">
        <v>236</v>
      </c>
      <c r="B127" s="52" t="s">
        <v>39</v>
      </c>
      <c r="C127" s="52" t="s">
        <v>53</v>
      </c>
      <c r="D127" s="52" t="s">
        <v>13</v>
      </c>
      <c r="E127" s="54">
        <v>0</v>
      </c>
      <c r="F127" s="53"/>
      <c r="G127" s="88">
        <f>SUM(G128:G130)</f>
        <v>100</v>
      </c>
      <c r="H127" s="88">
        <f>SUM(H128:H130)</f>
        <v>0</v>
      </c>
      <c r="I127" s="88">
        <f t="shared" si="3"/>
        <v>0</v>
      </c>
    </row>
    <row r="128" spans="1:9" ht="24" hidden="1" outlineLevel="3">
      <c r="A128" s="37" t="s">
        <v>99</v>
      </c>
      <c r="B128" s="52" t="s">
        <v>39</v>
      </c>
      <c r="C128" s="52" t="s">
        <v>53</v>
      </c>
      <c r="D128" s="52" t="s">
        <v>13</v>
      </c>
      <c r="E128" s="54">
        <v>0</v>
      </c>
      <c r="F128" s="53">
        <v>200</v>
      </c>
      <c r="G128" s="88">
        <v>0</v>
      </c>
      <c r="H128" s="88">
        <v>0</v>
      </c>
      <c r="I128" s="88" t="e">
        <f t="shared" si="3"/>
        <v>#DIV/0!</v>
      </c>
    </row>
    <row r="129" spans="1:9" ht="16.5" customHeight="1" hidden="1" outlineLevel="3">
      <c r="A129" s="37" t="s">
        <v>152</v>
      </c>
      <c r="B129" s="52" t="s">
        <v>39</v>
      </c>
      <c r="C129" s="52" t="s">
        <v>53</v>
      </c>
      <c r="D129" s="52" t="s">
        <v>13</v>
      </c>
      <c r="E129" s="54">
        <v>0</v>
      </c>
      <c r="F129" s="53">
        <v>300</v>
      </c>
      <c r="G129" s="88">
        <v>0</v>
      </c>
      <c r="H129" s="88">
        <v>0</v>
      </c>
      <c r="I129" s="88" t="e">
        <f t="shared" si="3"/>
        <v>#DIV/0!</v>
      </c>
    </row>
    <row r="130" spans="1:9" ht="15.75" outlineLevel="3">
      <c r="A130" s="37" t="s">
        <v>139</v>
      </c>
      <c r="B130" s="52" t="s">
        <v>39</v>
      </c>
      <c r="C130" s="52" t="s">
        <v>53</v>
      </c>
      <c r="D130" s="52" t="s">
        <v>13</v>
      </c>
      <c r="E130" s="54">
        <v>0</v>
      </c>
      <c r="F130" s="53">
        <v>800</v>
      </c>
      <c r="G130" s="88">
        <v>100</v>
      </c>
      <c r="H130" s="88">
        <v>0</v>
      </c>
      <c r="I130" s="88">
        <f t="shared" si="3"/>
        <v>0</v>
      </c>
    </row>
    <row r="131" spans="1:9" ht="27.75" customHeight="1" outlineLevel="3">
      <c r="A131" s="37" t="s">
        <v>306</v>
      </c>
      <c r="B131" s="52" t="s">
        <v>39</v>
      </c>
      <c r="C131" s="52" t="s">
        <v>53</v>
      </c>
      <c r="D131" s="52" t="s">
        <v>251</v>
      </c>
      <c r="E131" s="54">
        <v>0</v>
      </c>
      <c r="F131" s="53"/>
      <c r="G131" s="88">
        <f>SUM(G132:G134)</f>
        <v>1379.5982</v>
      </c>
      <c r="H131" s="88">
        <f>SUM(H132:H134)</f>
        <v>409</v>
      </c>
      <c r="I131" s="88">
        <f t="shared" si="3"/>
        <v>29.646312962716248</v>
      </c>
    </row>
    <row r="132" spans="1:9" ht="24" outlineLevel="3">
      <c r="A132" s="37" t="s">
        <v>99</v>
      </c>
      <c r="B132" s="52" t="s">
        <v>39</v>
      </c>
      <c r="C132" s="52" t="s">
        <v>53</v>
      </c>
      <c r="D132" s="52" t="s">
        <v>251</v>
      </c>
      <c r="E132" s="54">
        <v>0</v>
      </c>
      <c r="F132" s="53">
        <v>200</v>
      </c>
      <c r="G132" s="88">
        <f>400+90-220+70+220</f>
        <v>560</v>
      </c>
      <c r="H132" s="88">
        <v>189</v>
      </c>
      <c r="I132" s="88">
        <f t="shared" si="3"/>
        <v>33.75</v>
      </c>
    </row>
    <row r="133" spans="1:9" ht="15.75" outlineLevel="3">
      <c r="A133" s="37" t="s">
        <v>153</v>
      </c>
      <c r="B133" s="52" t="s">
        <v>39</v>
      </c>
      <c r="C133" s="52" t="s">
        <v>53</v>
      </c>
      <c r="D133" s="52" t="s">
        <v>251</v>
      </c>
      <c r="E133" s="54">
        <v>0</v>
      </c>
      <c r="F133" s="53">
        <v>500</v>
      </c>
      <c r="G133" s="88">
        <v>220</v>
      </c>
      <c r="H133" s="88">
        <v>220</v>
      </c>
      <c r="I133" s="88">
        <f t="shared" si="3"/>
        <v>100</v>
      </c>
    </row>
    <row r="134" spans="1:9" ht="18" customHeight="1" outlineLevel="1">
      <c r="A134" s="37" t="s">
        <v>327</v>
      </c>
      <c r="B134" s="52" t="s">
        <v>39</v>
      </c>
      <c r="C134" s="52" t="s">
        <v>53</v>
      </c>
      <c r="D134" s="52" t="s">
        <v>251</v>
      </c>
      <c r="E134" s="54">
        <v>0</v>
      </c>
      <c r="F134" s="53"/>
      <c r="G134" s="88">
        <f>SUM(G135:G136)</f>
        <v>599.5982</v>
      </c>
      <c r="H134" s="88">
        <f>SUM(H135:H136)</f>
        <v>0</v>
      </c>
      <c r="I134" s="88">
        <f t="shared" si="3"/>
        <v>0</v>
      </c>
    </row>
    <row r="135" spans="1:9" ht="36" customHeight="1" outlineLevel="1">
      <c r="A135" s="37" t="s">
        <v>342</v>
      </c>
      <c r="B135" s="52" t="s">
        <v>39</v>
      </c>
      <c r="C135" s="52" t="s">
        <v>53</v>
      </c>
      <c r="D135" s="52" t="s">
        <v>251</v>
      </c>
      <c r="E135" s="54">
        <v>0</v>
      </c>
      <c r="F135" s="53">
        <v>200</v>
      </c>
      <c r="G135" s="88">
        <f>539.63838</f>
        <v>539.63838</v>
      </c>
      <c r="H135" s="88">
        <v>0</v>
      </c>
      <c r="I135" s="88">
        <f t="shared" si="3"/>
        <v>0</v>
      </c>
    </row>
    <row r="136" spans="1:9" ht="24" outlineLevel="1">
      <c r="A136" s="37" t="s">
        <v>324</v>
      </c>
      <c r="B136" s="52" t="s">
        <v>39</v>
      </c>
      <c r="C136" s="52" t="s">
        <v>53</v>
      </c>
      <c r="D136" s="52" t="s">
        <v>251</v>
      </c>
      <c r="E136" s="54">
        <v>0</v>
      </c>
      <c r="F136" s="53">
        <v>200</v>
      </c>
      <c r="G136" s="88">
        <v>59.95982</v>
      </c>
      <c r="H136" s="88">
        <v>0</v>
      </c>
      <c r="I136" s="88">
        <f t="shared" si="3"/>
        <v>0</v>
      </c>
    </row>
    <row r="137" spans="1:9" ht="13.5" customHeight="1" outlineLevel="1">
      <c r="A137" s="37" t="s">
        <v>55</v>
      </c>
      <c r="B137" s="52" t="s">
        <v>39</v>
      </c>
      <c r="C137" s="52" t="s">
        <v>56</v>
      </c>
      <c r="D137" s="52"/>
      <c r="E137" s="54"/>
      <c r="F137" s="53"/>
      <c r="G137" s="88">
        <f>SUM(G138+G151)</f>
        <v>21538.600000000002</v>
      </c>
      <c r="H137" s="88">
        <f>SUM(H138+H151)</f>
        <v>10228.51048</v>
      </c>
      <c r="I137" s="88">
        <f t="shared" si="3"/>
        <v>47.489207655093644</v>
      </c>
    </row>
    <row r="138" spans="1:9" ht="15.75" outlineLevel="1">
      <c r="A138" s="37" t="s">
        <v>54</v>
      </c>
      <c r="B138" s="52" t="s">
        <v>39</v>
      </c>
      <c r="C138" s="52" t="s">
        <v>57</v>
      </c>
      <c r="D138" s="52"/>
      <c r="E138" s="54"/>
      <c r="F138" s="53"/>
      <c r="G138" s="88">
        <f>SUM(G139+G148+G146)</f>
        <v>14513.2</v>
      </c>
      <c r="H138" s="88">
        <f>SUM(H139+H148+H146)</f>
        <v>3891.1104800000003</v>
      </c>
      <c r="I138" s="88">
        <f t="shared" si="3"/>
        <v>26.810837582338838</v>
      </c>
    </row>
    <row r="139" spans="1:9" ht="36" outlineLevel="1">
      <c r="A139" s="37" t="s">
        <v>307</v>
      </c>
      <c r="B139" s="52" t="s">
        <v>39</v>
      </c>
      <c r="C139" s="52" t="s">
        <v>57</v>
      </c>
      <c r="D139" s="52" t="s">
        <v>6</v>
      </c>
      <c r="E139" s="54">
        <v>0</v>
      </c>
      <c r="F139" s="53"/>
      <c r="G139" s="88">
        <f>SUM(G140+G144)</f>
        <v>10600</v>
      </c>
      <c r="H139" s="88">
        <f>SUM(H140+H144)</f>
        <v>600</v>
      </c>
      <c r="I139" s="88">
        <f aca="true" t="shared" si="6" ref="I139:I202">SUM(H139/G139)*100</f>
        <v>5.660377358490567</v>
      </c>
    </row>
    <row r="140" spans="1:9" ht="35.25" customHeight="1" outlineLevel="2" collapsed="1">
      <c r="A140" s="37" t="s">
        <v>179</v>
      </c>
      <c r="B140" s="52" t="s">
        <v>39</v>
      </c>
      <c r="C140" s="52" t="s">
        <v>57</v>
      </c>
      <c r="D140" s="52" t="s">
        <v>6</v>
      </c>
      <c r="E140" s="54">
        <v>1</v>
      </c>
      <c r="F140" s="53"/>
      <c r="G140" s="88">
        <f>SUM(G141:G143)</f>
        <v>600</v>
      </c>
      <c r="H140" s="88">
        <f>SUM(H141:H143)</f>
        <v>600</v>
      </c>
      <c r="I140" s="88">
        <f t="shared" si="6"/>
        <v>100</v>
      </c>
    </row>
    <row r="141" spans="1:9" ht="28.5" customHeight="1" hidden="1" outlineLevel="5">
      <c r="A141" s="37" t="s">
        <v>99</v>
      </c>
      <c r="B141" s="52" t="s">
        <v>39</v>
      </c>
      <c r="C141" s="52" t="s">
        <v>57</v>
      </c>
      <c r="D141" s="52" t="s">
        <v>6</v>
      </c>
      <c r="E141" s="54">
        <v>1</v>
      </c>
      <c r="F141" s="53">
        <v>200</v>
      </c>
      <c r="G141" s="88">
        <v>0</v>
      </c>
      <c r="H141" s="88">
        <v>0</v>
      </c>
      <c r="I141" s="88" t="e">
        <f t="shared" si="6"/>
        <v>#DIV/0!</v>
      </c>
    </row>
    <row r="142" spans="1:9" ht="1.5" customHeight="1" hidden="1" outlineLevel="5">
      <c r="A142" s="37" t="s">
        <v>298</v>
      </c>
      <c r="B142" s="52" t="s">
        <v>39</v>
      </c>
      <c r="C142" s="52" t="s">
        <v>57</v>
      </c>
      <c r="D142" s="52" t="s">
        <v>6</v>
      </c>
      <c r="E142" s="54">
        <v>1</v>
      </c>
      <c r="F142" s="53">
        <v>500</v>
      </c>
      <c r="G142" s="88">
        <v>0</v>
      </c>
      <c r="H142" s="88">
        <v>0</v>
      </c>
      <c r="I142" s="88" t="e">
        <f t="shared" si="6"/>
        <v>#DIV/0!</v>
      </c>
    </row>
    <row r="143" spans="1:9" ht="13.5" customHeight="1" outlineLevel="2">
      <c r="A143" s="37" t="s">
        <v>153</v>
      </c>
      <c r="B143" s="52" t="s">
        <v>39</v>
      </c>
      <c r="C143" s="52" t="s">
        <v>57</v>
      </c>
      <c r="D143" s="52" t="s">
        <v>6</v>
      </c>
      <c r="E143" s="54">
        <v>1</v>
      </c>
      <c r="F143" s="53">
        <v>500</v>
      </c>
      <c r="G143" s="88">
        <f>1700-1700+600</f>
        <v>600</v>
      </c>
      <c r="H143" s="88">
        <v>600</v>
      </c>
      <c r="I143" s="88">
        <f t="shared" si="6"/>
        <v>100</v>
      </c>
    </row>
    <row r="144" spans="1:9" ht="36" outlineLevel="2">
      <c r="A144" s="37" t="s">
        <v>197</v>
      </c>
      <c r="B144" s="52" t="s">
        <v>39</v>
      </c>
      <c r="C144" s="52" t="s">
        <v>57</v>
      </c>
      <c r="D144" s="52" t="s">
        <v>6</v>
      </c>
      <c r="E144" s="54">
        <v>3</v>
      </c>
      <c r="F144" s="53"/>
      <c r="G144" s="88">
        <f>SUM(G145)</f>
        <v>10000</v>
      </c>
      <c r="H144" s="88">
        <f>SUM(H145)</f>
        <v>0</v>
      </c>
      <c r="I144" s="88">
        <f t="shared" si="6"/>
        <v>0</v>
      </c>
    </row>
    <row r="145" spans="1:9" ht="24" outlineLevel="2">
      <c r="A145" s="37" t="s">
        <v>154</v>
      </c>
      <c r="B145" s="52" t="s">
        <v>39</v>
      </c>
      <c r="C145" s="52" t="s">
        <v>57</v>
      </c>
      <c r="D145" s="52" t="s">
        <v>6</v>
      </c>
      <c r="E145" s="54">
        <v>3</v>
      </c>
      <c r="F145" s="53">
        <v>400</v>
      </c>
      <c r="G145" s="88">
        <f>10000</f>
        <v>10000</v>
      </c>
      <c r="H145" s="88">
        <v>0</v>
      </c>
      <c r="I145" s="88">
        <f t="shared" si="6"/>
        <v>0</v>
      </c>
    </row>
    <row r="146" spans="1:9" ht="48" outlineLevel="5">
      <c r="A146" s="37" t="s">
        <v>312</v>
      </c>
      <c r="B146" s="52" t="s">
        <v>39</v>
      </c>
      <c r="C146" s="52" t="s">
        <v>57</v>
      </c>
      <c r="D146" s="52" t="s">
        <v>14</v>
      </c>
      <c r="E146" s="54">
        <v>0</v>
      </c>
      <c r="F146" s="53"/>
      <c r="G146" s="88">
        <f>SUM(G147)</f>
        <v>3500</v>
      </c>
      <c r="H146" s="88">
        <f>SUM(H147)</f>
        <v>3179.76069</v>
      </c>
      <c r="I146" s="88">
        <f t="shared" si="6"/>
        <v>90.85030542857143</v>
      </c>
    </row>
    <row r="147" spans="1:9" ht="24" outlineLevel="5">
      <c r="A147" s="37" t="s">
        <v>151</v>
      </c>
      <c r="B147" s="52" t="s">
        <v>39</v>
      </c>
      <c r="C147" s="52" t="s">
        <v>57</v>
      </c>
      <c r="D147" s="52" t="s">
        <v>14</v>
      </c>
      <c r="E147" s="54">
        <v>0</v>
      </c>
      <c r="F147" s="53">
        <v>600</v>
      </c>
      <c r="G147" s="88">
        <v>3500</v>
      </c>
      <c r="H147" s="88">
        <v>3179.76069</v>
      </c>
      <c r="I147" s="88">
        <f t="shared" si="6"/>
        <v>90.85030542857143</v>
      </c>
    </row>
    <row r="148" spans="1:9" ht="49.5" customHeight="1" outlineLevel="5">
      <c r="A148" s="37" t="s">
        <v>232</v>
      </c>
      <c r="B148" s="52" t="s">
        <v>39</v>
      </c>
      <c r="C148" s="52" t="s">
        <v>57</v>
      </c>
      <c r="D148" s="52"/>
      <c r="E148" s="54"/>
      <c r="F148" s="53"/>
      <c r="G148" s="88">
        <f>SUM(G149)</f>
        <v>413.20000000000005</v>
      </c>
      <c r="H148" s="88">
        <f>SUM(H149)</f>
        <v>111.34979</v>
      </c>
      <c r="I148" s="88">
        <f t="shared" si="6"/>
        <v>26.9481582768635</v>
      </c>
    </row>
    <row r="149" spans="1:9" ht="24" outlineLevel="5">
      <c r="A149" s="37" t="s">
        <v>150</v>
      </c>
      <c r="B149" s="52" t="s">
        <v>39</v>
      </c>
      <c r="C149" s="52" t="s">
        <v>57</v>
      </c>
      <c r="D149" s="52" t="s">
        <v>16</v>
      </c>
      <c r="E149" s="54">
        <v>0</v>
      </c>
      <c r="F149" s="53"/>
      <c r="G149" s="88">
        <f>SUM(G150)</f>
        <v>413.20000000000005</v>
      </c>
      <c r="H149" s="88">
        <f>SUM(H150)</f>
        <v>111.34979</v>
      </c>
      <c r="I149" s="88">
        <f t="shared" si="6"/>
        <v>26.9481582768635</v>
      </c>
    </row>
    <row r="150" spans="1:9" ht="15.75" outlineLevel="5">
      <c r="A150" s="37" t="s">
        <v>139</v>
      </c>
      <c r="B150" s="52" t="s">
        <v>39</v>
      </c>
      <c r="C150" s="52" t="s">
        <v>57</v>
      </c>
      <c r="D150" s="52" t="s">
        <v>16</v>
      </c>
      <c r="E150" s="54">
        <v>0</v>
      </c>
      <c r="F150" s="53">
        <v>800</v>
      </c>
      <c r="G150" s="88">
        <f>120.6+308.5-15.9</f>
        <v>413.20000000000005</v>
      </c>
      <c r="H150" s="88">
        <v>111.34979</v>
      </c>
      <c r="I150" s="88">
        <f t="shared" si="6"/>
        <v>26.9481582768635</v>
      </c>
    </row>
    <row r="151" spans="1:9" ht="15.75" outlineLevel="5">
      <c r="A151" s="37" t="s">
        <v>130</v>
      </c>
      <c r="B151" s="52" t="s">
        <v>39</v>
      </c>
      <c r="C151" s="52" t="s">
        <v>129</v>
      </c>
      <c r="D151" s="52"/>
      <c r="E151" s="54"/>
      <c r="F151" s="53"/>
      <c r="G151" s="88">
        <f>SUM(G152+G155)</f>
        <v>7025.400000000001</v>
      </c>
      <c r="H151" s="88">
        <f>SUM(H152+H155)</f>
        <v>6337.4</v>
      </c>
      <c r="I151" s="88">
        <f t="shared" si="6"/>
        <v>90.20696330458051</v>
      </c>
    </row>
    <row r="152" spans="1:9" ht="24" outlineLevel="5">
      <c r="A152" s="37" t="s">
        <v>150</v>
      </c>
      <c r="B152" s="52" t="s">
        <v>39</v>
      </c>
      <c r="C152" s="52" t="s">
        <v>129</v>
      </c>
      <c r="D152" s="52" t="s">
        <v>16</v>
      </c>
      <c r="E152" s="54">
        <v>0</v>
      </c>
      <c r="F152" s="53"/>
      <c r="G152" s="88">
        <f>SUM(G153:G154)</f>
        <v>4511.3</v>
      </c>
      <c r="H152" s="88">
        <f>SUM(H153:H154)</f>
        <v>3823.3</v>
      </c>
      <c r="I152" s="88">
        <f t="shared" si="6"/>
        <v>84.74940704453262</v>
      </c>
    </row>
    <row r="153" spans="1:9" ht="35.25" customHeight="1" outlineLevel="5">
      <c r="A153" s="37" t="s">
        <v>318</v>
      </c>
      <c r="B153" s="52" t="s">
        <v>39</v>
      </c>
      <c r="C153" s="52" t="s">
        <v>129</v>
      </c>
      <c r="D153" s="52" t="s">
        <v>16</v>
      </c>
      <c r="E153" s="54">
        <v>0</v>
      </c>
      <c r="F153" s="53">
        <v>500</v>
      </c>
      <c r="G153" s="88">
        <v>4511.3</v>
      </c>
      <c r="H153" s="88">
        <v>3823.3</v>
      </c>
      <c r="I153" s="88">
        <f t="shared" si="6"/>
        <v>84.74940704453262</v>
      </c>
    </row>
    <row r="154" spans="1:9" ht="26.25" customHeight="1" hidden="1" outlineLevel="5">
      <c r="A154" s="37" t="s">
        <v>336</v>
      </c>
      <c r="B154" s="52" t="s">
        <v>39</v>
      </c>
      <c r="C154" s="52" t="s">
        <v>129</v>
      </c>
      <c r="D154" s="52" t="s">
        <v>16</v>
      </c>
      <c r="E154" s="54">
        <v>0</v>
      </c>
      <c r="F154" s="53">
        <v>200</v>
      </c>
      <c r="G154" s="88">
        <f>500-500</f>
        <v>0</v>
      </c>
      <c r="H154" s="88">
        <v>0</v>
      </c>
      <c r="I154" s="88" t="e">
        <f t="shared" si="6"/>
        <v>#DIV/0!</v>
      </c>
    </row>
    <row r="155" spans="1:9" ht="24" outlineLevel="5">
      <c r="A155" s="37" t="s">
        <v>261</v>
      </c>
      <c r="B155" s="52" t="s">
        <v>39</v>
      </c>
      <c r="C155" s="52" t="s">
        <v>129</v>
      </c>
      <c r="D155" s="52" t="s">
        <v>12</v>
      </c>
      <c r="E155" s="54">
        <v>0</v>
      </c>
      <c r="F155" s="53"/>
      <c r="G155" s="88">
        <f>SUM(G156:G156)</f>
        <v>2514.1000000000004</v>
      </c>
      <c r="H155" s="88">
        <f>SUM(H156:H156)</f>
        <v>2514.1</v>
      </c>
      <c r="I155" s="88">
        <f t="shared" si="6"/>
        <v>99.99999999999997</v>
      </c>
    </row>
    <row r="156" spans="1:9" ht="24" outlineLevel="5">
      <c r="A156" s="37" t="s">
        <v>151</v>
      </c>
      <c r="B156" s="52" t="s">
        <v>39</v>
      </c>
      <c r="C156" s="52" t="s">
        <v>129</v>
      </c>
      <c r="D156" s="52" t="s">
        <v>12</v>
      </c>
      <c r="E156" s="54">
        <v>0</v>
      </c>
      <c r="F156" s="53">
        <v>600</v>
      </c>
      <c r="G156" s="88">
        <f>1999.9+514.2</f>
        <v>2514.1000000000004</v>
      </c>
      <c r="H156" s="88">
        <v>2514.1</v>
      </c>
      <c r="I156" s="88">
        <f t="shared" si="6"/>
        <v>99.99999999999997</v>
      </c>
    </row>
    <row r="157" spans="1:9" ht="15.75" outlineLevel="5">
      <c r="A157" s="37" t="s">
        <v>58</v>
      </c>
      <c r="B157" s="52" t="s">
        <v>39</v>
      </c>
      <c r="C157" s="52" t="s">
        <v>112</v>
      </c>
      <c r="D157" s="52"/>
      <c r="E157" s="54"/>
      <c r="F157" s="53"/>
      <c r="G157" s="88">
        <f>SUM(G158)</f>
        <v>20</v>
      </c>
      <c r="H157" s="88">
        <f>SUM(H158)</f>
        <v>0</v>
      </c>
      <c r="I157" s="88">
        <f t="shared" si="6"/>
        <v>0</v>
      </c>
    </row>
    <row r="158" spans="1:9" ht="27" customHeight="1" outlineLevel="5">
      <c r="A158" s="37" t="s">
        <v>233</v>
      </c>
      <c r="B158" s="52" t="s">
        <v>39</v>
      </c>
      <c r="C158" s="52" t="s">
        <v>60</v>
      </c>
      <c r="D158" s="52" t="s">
        <v>15</v>
      </c>
      <c r="E158" s="54">
        <v>0</v>
      </c>
      <c r="F158" s="53"/>
      <c r="G158" s="88">
        <f>SUM(G159:G160)</f>
        <v>20</v>
      </c>
      <c r="H158" s="88">
        <f>SUM(H159:H160)</f>
        <v>0</v>
      </c>
      <c r="I158" s="88">
        <f t="shared" si="6"/>
        <v>0</v>
      </c>
    </row>
    <row r="159" spans="1:9" ht="24.75" customHeight="1" outlineLevel="5">
      <c r="A159" s="37" t="s">
        <v>99</v>
      </c>
      <c r="B159" s="52" t="s">
        <v>39</v>
      </c>
      <c r="C159" s="52" t="s">
        <v>60</v>
      </c>
      <c r="D159" s="52" t="s">
        <v>15</v>
      </c>
      <c r="E159" s="54">
        <v>0</v>
      </c>
      <c r="F159" s="53">
        <v>200</v>
      </c>
      <c r="G159" s="88">
        <f>50-30</f>
        <v>20</v>
      </c>
      <c r="H159" s="88">
        <v>0</v>
      </c>
      <c r="I159" s="88">
        <f t="shared" si="6"/>
        <v>0</v>
      </c>
    </row>
    <row r="160" spans="1:9" ht="0.75" customHeight="1" hidden="1" outlineLevel="5">
      <c r="A160" s="37" t="s">
        <v>151</v>
      </c>
      <c r="B160" s="52" t="s">
        <v>39</v>
      </c>
      <c r="C160" s="52" t="s">
        <v>60</v>
      </c>
      <c r="D160" s="52" t="s">
        <v>15</v>
      </c>
      <c r="E160" s="54">
        <v>0</v>
      </c>
      <c r="F160" s="53">
        <v>600</v>
      </c>
      <c r="G160" s="88">
        <v>0</v>
      </c>
      <c r="H160" s="88">
        <v>0</v>
      </c>
      <c r="I160" s="88" t="e">
        <f t="shared" si="6"/>
        <v>#DIV/0!</v>
      </c>
    </row>
    <row r="161" spans="1:9" ht="18.75" customHeight="1" outlineLevel="5">
      <c r="A161" s="37" t="s">
        <v>61</v>
      </c>
      <c r="B161" s="52" t="s">
        <v>39</v>
      </c>
      <c r="C161" s="52" t="s">
        <v>64</v>
      </c>
      <c r="D161" s="52"/>
      <c r="E161" s="54"/>
      <c r="F161" s="53"/>
      <c r="G161" s="88">
        <f>SUM(G162+G185+G234+G247+G225)</f>
        <v>287653.86058000004</v>
      </c>
      <c r="H161" s="88">
        <f>SUM(H162+H185+H234+H247+H225)</f>
        <v>185636.48421000008</v>
      </c>
      <c r="I161" s="88">
        <f t="shared" si="6"/>
        <v>64.53467505553338</v>
      </c>
    </row>
    <row r="162" spans="1:9" ht="19.5" customHeight="1" outlineLevel="1">
      <c r="A162" s="37" t="s">
        <v>62</v>
      </c>
      <c r="B162" s="52" t="s">
        <v>39</v>
      </c>
      <c r="C162" s="52" t="s">
        <v>63</v>
      </c>
      <c r="D162" s="52"/>
      <c r="E162" s="54"/>
      <c r="F162" s="53"/>
      <c r="G162" s="88">
        <f>SUM(G163+G171+G169+G177+G182)</f>
        <v>39010.24885</v>
      </c>
      <c r="H162" s="88">
        <f>SUM(H163+H171+H169+H177+H182)</f>
        <v>26826.803969999994</v>
      </c>
      <c r="I162" s="88">
        <f t="shared" si="6"/>
        <v>68.76860507389455</v>
      </c>
    </row>
    <row r="163" spans="1:9" ht="24" customHeight="1" outlineLevel="2" collapsed="1">
      <c r="A163" s="37" t="s">
        <v>307</v>
      </c>
      <c r="B163" s="52" t="s">
        <v>39</v>
      </c>
      <c r="C163" s="52" t="s">
        <v>63</v>
      </c>
      <c r="D163" s="52" t="s">
        <v>6</v>
      </c>
      <c r="E163" s="54">
        <v>0</v>
      </c>
      <c r="F163" s="53"/>
      <c r="G163" s="88">
        <f>SUM(G164+G167)</f>
        <v>270.55233</v>
      </c>
      <c r="H163" s="88">
        <f>SUM(H164+H167)</f>
        <v>65.904</v>
      </c>
      <c r="I163" s="88">
        <f t="shared" si="6"/>
        <v>24.35905837513948</v>
      </c>
    </row>
    <row r="164" spans="1:9" ht="32.25" customHeight="1" hidden="1" outlineLevel="3">
      <c r="A164" s="37" t="s">
        <v>197</v>
      </c>
      <c r="B164" s="52" t="s">
        <v>39</v>
      </c>
      <c r="C164" s="52" t="s">
        <v>63</v>
      </c>
      <c r="D164" s="52" t="s">
        <v>6</v>
      </c>
      <c r="E164" s="54">
        <v>3</v>
      </c>
      <c r="F164" s="53"/>
      <c r="G164" s="88">
        <f>SUM(G165:G166)</f>
        <v>0</v>
      </c>
      <c r="H164" s="88">
        <f>SUM(H165:H166)</f>
        <v>0</v>
      </c>
      <c r="I164" s="88" t="e">
        <f t="shared" si="6"/>
        <v>#DIV/0!</v>
      </c>
    </row>
    <row r="165" spans="1:9" ht="30" customHeight="1" hidden="1" outlineLevel="3">
      <c r="A165" s="37" t="s">
        <v>154</v>
      </c>
      <c r="B165" s="52" t="s">
        <v>39</v>
      </c>
      <c r="C165" s="52" t="s">
        <v>63</v>
      </c>
      <c r="D165" s="52" t="s">
        <v>6</v>
      </c>
      <c r="E165" s="54">
        <v>3</v>
      </c>
      <c r="F165" s="53">
        <v>400</v>
      </c>
      <c r="G165" s="88">
        <v>0</v>
      </c>
      <c r="H165" s="88">
        <v>0</v>
      </c>
      <c r="I165" s="88" t="e">
        <f t="shared" si="6"/>
        <v>#DIV/0!</v>
      </c>
    </row>
    <row r="166" spans="1:9" ht="24" hidden="1">
      <c r="A166" s="37" t="s">
        <v>151</v>
      </c>
      <c r="B166" s="52" t="s">
        <v>39</v>
      </c>
      <c r="C166" s="52" t="s">
        <v>63</v>
      </c>
      <c r="D166" s="52" t="s">
        <v>6</v>
      </c>
      <c r="E166" s="54">
        <v>3</v>
      </c>
      <c r="F166" s="53">
        <v>600</v>
      </c>
      <c r="G166" s="88">
        <v>0</v>
      </c>
      <c r="H166" s="88">
        <v>0</v>
      </c>
      <c r="I166" s="88" t="e">
        <f t="shared" si="6"/>
        <v>#DIV/0!</v>
      </c>
    </row>
    <row r="167" spans="1:9" ht="27" customHeight="1">
      <c r="A167" s="37" t="s">
        <v>180</v>
      </c>
      <c r="B167" s="52" t="s">
        <v>39</v>
      </c>
      <c r="C167" s="52" t="s">
        <v>63</v>
      </c>
      <c r="D167" s="52" t="s">
        <v>6</v>
      </c>
      <c r="E167" s="54">
        <v>4</v>
      </c>
      <c r="F167" s="53"/>
      <c r="G167" s="88">
        <f>SUM(G168:G168)</f>
        <v>270.55233</v>
      </c>
      <c r="H167" s="88">
        <f>SUM(H168:H168)</f>
        <v>65.904</v>
      </c>
      <c r="I167" s="88">
        <f t="shared" si="6"/>
        <v>24.35905837513948</v>
      </c>
    </row>
    <row r="168" spans="1:9" ht="23.25" customHeight="1">
      <c r="A168" s="37" t="s">
        <v>151</v>
      </c>
      <c r="B168" s="52" t="s">
        <v>39</v>
      </c>
      <c r="C168" s="52" t="s">
        <v>63</v>
      </c>
      <c r="D168" s="52" t="s">
        <v>6</v>
      </c>
      <c r="E168" s="54">
        <v>4</v>
      </c>
      <c r="F168" s="53">
        <v>600</v>
      </c>
      <c r="G168" s="88">
        <f>350-19.18367-47.805-12.459-115+115</f>
        <v>270.55233</v>
      </c>
      <c r="H168" s="88">
        <v>65.904</v>
      </c>
      <c r="I168" s="88">
        <f t="shared" si="6"/>
        <v>24.35905837513948</v>
      </c>
    </row>
    <row r="169" spans="1:9" ht="75.75" customHeight="1">
      <c r="A169" s="37" t="s">
        <v>328</v>
      </c>
      <c r="B169" s="52" t="s">
        <v>39</v>
      </c>
      <c r="C169" s="52" t="s">
        <v>63</v>
      </c>
      <c r="D169" s="52" t="s">
        <v>198</v>
      </c>
      <c r="E169" s="54">
        <v>0</v>
      </c>
      <c r="F169" s="53"/>
      <c r="G169" s="88">
        <f>SUM(G170:G170)</f>
        <v>128.54496</v>
      </c>
      <c r="H169" s="88">
        <f>SUM(H170:H170)</f>
        <v>0</v>
      </c>
      <c r="I169" s="88">
        <f t="shared" si="6"/>
        <v>0</v>
      </c>
    </row>
    <row r="170" spans="1:9" ht="27" customHeight="1">
      <c r="A170" s="37" t="s">
        <v>151</v>
      </c>
      <c r="B170" s="52" t="s">
        <v>39</v>
      </c>
      <c r="C170" s="52" t="s">
        <v>63</v>
      </c>
      <c r="D170" s="52" t="s">
        <v>198</v>
      </c>
      <c r="E170" s="54">
        <v>0</v>
      </c>
      <c r="F170" s="53">
        <v>600</v>
      </c>
      <c r="G170" s="88">
        <v>128.54496</v>
      </c>
      <c r="H170" s="88">
        <v>0</v>
      </c>
      <c r="I170" s="88">
        <f t="shared" si="6"/>
        <v>0</v>
      </c>
    </row>
    <row r="171" spans="1:9" ht="36" outlineLevel="5">
      <c r="A171" s="37" t="s">
        <v>308</v>
      </c>
      <c r="B171" s="52" t="s">
        <v>39</v>
      </c>
      <c r="C171" s="52" t="s">
        <v>63</v>
      </c>
      <c r="D171" s="52" t="s">
        <v>19</v>
      </c>
      <c r="E171" s="54">
        <v>0</v>
      </c>
      <c r="F171" s="53"/>
      <c r="G171" s="88">
        <f>SUM(G172:G176)</f>
        <v>25422.151560000002</v>
      </c>
      <c r="H171" s="88">
        <f>SUM(H172:H176)</f>
        <v>18095.140629999998</v>
      </c>
      <c r="I171" s="88">
        <f t="shared" si="6"/>
        <v>71.17863563708529</v>
      </c>
    </row>
    <row r="172" spans="1:9" ht="24" outlineLevel="5">
      <c r="A172" s="37" t="s">
        <v>151</v>
      </c>
      <c r="B172" s="52" t="s">
        <v>39</v>
      </c>
      <c r="C172" s="52" t="s">
        <v>63</v>
      </c>
      <c r="D172" s="52" t="s">
        <v>19</v>
      </c>
      <c r="E172" s="54">
        <v>0</v>
      </c>
      <c r="F172" s="53">
        <v>600</v>
      </c>
      <c r="G172" s="88">
        <v>10500</v>
      </c>
      <c r="H172" s="88">
        <v>7516.73676</v>
      </c>
      <c r="I172" s="88">
        <f t="shared" si="6"/>
        <v>71.58796914285715</v>
      </c>
    </row>
    <row r="173" spans="1:9" ht="33.75" customHeight="1" outlineLevel="5">
      <c r="A173" s="37" t="s">
        <v>143</v>
      </c>
      <c r="B173" s="52" t="s">
        <v>39</v>
      </c>
      <c r="C173" s="52" t="s">
        <v>63</v>
      </c>
      <c r="D173" s="52" t="s">
        <v>19</v>
      </c>
      <c r="E173" s="54">
        <v>0</v>
      </c>
      <c r="F173" s="53">
        <v>600</v>
      </c>
      <c r="G173" s="88">
        <f>16166.1-1259.7</f>
        <v>14906.4</v>
      </c>
      <c r="H173" s="88">
        <v>10562.65231</v>
      </c>
      <c r="I173" s="88">
        <f t="shared" si="6"/>
        <v>70.85984751516126</v>
      </c>
    </row>
    <row r="174" spans="1:9" ht="34.5" customHeight="1" hidden="1" outlineLevel="5">
      <c r="A174" s="37" t="s">
        <v>279</v>
      </c>
      <c r="B174" s="52" t="s">
        <v>39</v>
      </c>
      <c r="C174" s="52" t="s">
        <v>63</v>
      </c>
      <c r="D174" s="52" t="s">
        <v>19</v>
      </c>
      <c r="E174" s="54">
        <v>0</v>
      </c>
      <c r="F174" s="53">
        <v>600</v>
      </c>
      <c r="G174" s="88">
        <v>0</v>
      </c>
      <c r="H174" s="88">
        <v>0</v>
      </c>
      <c r="I174" s="88" t="e">
        <f t="shared" si="6"/>
        <v>#DIV/0!</v>
      </c>
    </row>
    <row r="175" spans="1:9" ht="29.25" customHeight="1" outlineLevel="5">
      <c r="A175" s="37" t="s">
        <v>155</v>
      </c>
      <c r="B175" s="52" t="s">
        <v>39</v>
      </c>
      <c r="C175" s="52" t="s">
        <v>63</v>
      </c>
      <c r="D175" s="52" t="s">
        <v>19</v>
      </c>
      <c r="E175" s="54">
        <v>0</v>
      </c>
      <c r="F175" s="53">
        <v>600</v>
      </c>
      <c r="G175" s="88">
        <f>38.3-22.54844</f>
        <v>15.751559999999998</v>
      </c>
      <c r="H175" s="88">
        <v>15.75156</v>
      </c>
      <c r="I175" s="88">
        <f t="shared" si="6"/>
        <v>100.00000000000003</v>
      </c>
    </row>
    <row r="176" spans="1:9" ht="96" hidden="1" outlineLevel="5">
      <c r="A176" s="37" t="s">
        <v>255</v>
      </c>
      <c r="B176" s="52" t="s">
        <v>39</v>
      </c>
      <c r="C176" s="52" t="s">
        <v>63</v>
      </c>
      <c r="D176" s="52" t="s">
        <v>19</v>
      </c>
      <c r="E176" s="54">
        <v>0</v>
      </c>
      <c r="F176" s="53">
        <v>600</v>
      </c>
      <c r="G176" s="88">
        <v>0</v>
      </c>
      <c r="H176" s="88">
        <v>0</v>
      </c>
      <c r="I176" s="88" t="e">
        <f t="shared" si="6"/>
        <v>#DIV/0!</v>
      </c>
    </row>
    <row r="177" spans="1:9" ht="29.25" customHeight="1" outlineLevel="5">
      <c r="A177" s="37" t="s">
        <v>335</v>
      </c>
      <c r="B177" s="52" t="s">
        <v>39</v>
      </c>
      <c r="C177" s="52" t="s">
        <v>63</v>
      </c>
      <c r="D177" s="52" t="s">
        <v>20</v>
      </c>
      <c r="E177" s="54">
        <v>0</v>
      </c>
      <c r="F177" s="97"/>
      <c r="G177" s="96">
        <f>SUM(G178)</f>
        <v>13010</v>
      </c>
      <c r="H177" s="96">
        <f>SUM(H178)</f>
        <v>8579.22184</v>
      </c>
      <c r="I177" s="88">
        <f t="shared" si="6"/>
        <v>65.94328854727132</v>
      </c>
    </row>
    <row r="178" spans="1:9" ht="15.75" outlineLevel="5">
      <c r="A178" s="37" t="s">
        <v>281</v>
      </c>
      <c r="B178" s="52" t="s">
        <v>39</v>
      </c>
      <c r="C178" s="52" t="s">
        <v>63</v>
      </c>
      <c r="D178" s="52" t="s">
        <v>20</v>
      </c>
      <c r="E178" s="54">
        <v>1</v>
      </c>
      <c r="F178" s="97"/>
      <c r="G178" s="96">
        <f>SUM(G179:G181)</f>
        <v>13010</v>
      </c>
      <c r="H178" s="96">
        <f>SUM(H179:H181)</f>
        <v>8579.22184</v>
      </c>
      <c r="I178" s="88">
        <f t="shared" si="6"/>
        <v>65.94328854727132</v>
      </c>
    </row>
    <row r="179" spans="1:9" ht="57.75" customHeight="1" outlineLevel="5">
      <c r="A179" s="37" t="s">
        <v>222</v>
      </c>
      <c r="B179" s="52" t="s">
        <v>39</v>
      </c>
      <c r="C179" s="52" t="s">
        <v>63</v>
      </c>
      <c r="D179" s="52" t="s">
        <v>20</v>
      </c>
      <c r="E179" s="54">
        <v>1</v>
      </c>
      <c r="F179" s="53">
        <v>600</v>
      </c>
      <c r="G179" s="88">
        <f>9176.3+33.7</f>
        <v>9210</v>
      </c>
      <c r="H179" s="88">
        <v>5709.91918</v>
      </c>
      <c r="I179" s="88">
        <f t="shared" si="6"/>
        <v>61.996950922909875</v>
      </c>
    </row>
    <row r="180" spans="1:9" ht="0.75" customHeight="1" hidden="1" outlineLevel="5">
      <c r="A180" s="37" t="s">
        <v>279</v>
      </c>
      <c r="B180" s="52" t="s">
        <v>39</v>
      </c>
      <c r="C180" s="52" t="s">
        <v>63</v>
      </c>
      <c r="D180" s="52" t="s">
        <v>20</v>
      </c>
      <c r="E180" s="54">
        <v>1</v>
      </c>
      <c r="F180" s="53">
        <v>600</v>
      </c>
      <c r="G180" s="88">
        <v>0</v>
      </c>
      <c r="H180" s="88">
        <v>0</v>
      </c>
      <c r="I180" s="88" t="e">
        <f t="shared" si="6"/>
        <v>#DIV/0!</v>
      </c>
    </row>
    <row r="181" spans="1:9" ht="24" outlineLevel="5">
      <c r="A181" s="37" t="s">
        <v>151</v>
      </c>
      <c r="B181" s="52" t="s">
        <v>39</v>
      </c>
      <c r="C181" s="52" t="s">
        <v>63</v>
      </c>
      <c r="D181" s="52" t="s">
        <v>20</v>
      </c>
      <c r="E181" s="54">
        <v>1</v>
      </c>
      <c r="F181" s="53">
        <v>600</v>
      </c>
      <c r="G181" s="88">
        <f>3500+300</f>
        <v>3800</v>
      </c>
      <c r="H181" s="88">
        <v>2869.30266</v>
      </c>
      <c r="I181" s="88">
        <f t="shared" si="6"/>
        <v>75.5079647368421</v>
      </c>
    </row>
    <row r="182" spans="1:9" ht="24" outlineLevel="5">
      <c r="A182" s="37" t="s">
        <v>150</v>
      </c>
      <c r="B182" s="52" t="s">
        <v>39</v>
      </c>
      <c r="C182" s="52" t="s">
        <v>63</v>
      </c>
      <c r="D182" s="52" t="s">
        <v>16</v>
      </c>
      <c r="E182" s="54">
        <v>0</v>
      </c>
      <c r="F182" s="53"/>
      <c r="G182" s="88">
        <f>SUM(G183)</f>
        <v>179</v>
      </c>
      <c r="H182" s="88">
        <f>SUM(H183)</f>
        <v>86.5375</v>
      </c>
      <c r="I182" s="88">
        <f t="shared" si="6"/>
        <v>48.3449720670391</v>
      </c>
    </row>
    <row r="183" spans="1:9" ht="15.75" outlineLevel="5">
      <c r="A183" s="37" t="s">
        <v>319</v>
      </c>
      <c r="B183" s="52" t="s">
        <v>39</v>
      </c>
      <c r="C183" s="52" t="s">
        <v>63</v>
      </c>
      <c r="D183" s="52" t="s">
        <v>16</v>
      </c>
      <c r="E183" s="54">
        <v>0</v>
      </c>
      <c r="F183" s="53"/>
      <c r="G183" s="88">
        <f>SUM(G184)</f>
        <v>179</v>
      </c>
      <c r="H183" s="88">
        <f>SUM(H184)</f>
        <v>86.5375</v>
      </c>
      <c r="I183" s="88">
        <f t="shared" si="6"/>
        <v>48.3449720670391</v>
      </c>
    </row>
    <row r="184" spans="1:9" ht="24" outlineLevel="5">
      <c r="A184" s="37" t="s">
        <v>151</v>
      </c>
      <c r="B184" s="52" t="s">
        <v>39</v>
      </c>
      <c r="C184" s="52" t="s">
        <v>63</v>
      </c>
      <c r="D184" s="52" t="s">
        <v>16</v>
      </c>
      <c r="E184" s="54">
        <v>0</v>
      </c>
      <c r="F184" s="53">
        <v>600</v>
      </c>
      <c r="G184" s="88">
        <f>179</f>
        <v>179</v>
      </c>
      <c r="H184" s="88">
        <v>86.5375</v>
      </c>
      <c r="I184" s="88">
        <f t="shared" si="6"/>
        <v>48.3449720670391</v>
      </c>
    </row>
    <row r="185" spans="1:9" ht="20.25" customHeight="1" outlineLevel="5">
      <c r="A185" s="37" t="s">
        <v>70</v>
      </c>
      <c r="B185" s="52" t="s">
        <v>39</v>
      </c>
      <c r="C185" s="52" t="s">
        <v>65</v>
      </c>
      <c r="D185" s="52"/>
      <c r="E185" s="54"/>
      <c r="F185" s="53"/>
      <c r="G185" s="96">
        <f>SUM(G186)</f>
        <v>224949.80636000002</v>
      </c>
      <c r="H185" s="96">
        <f>SUM(H186)</f>
        <v>140766.24421000003</v>
      </c>
      <c r="I185" s="88">
        <f t="shared" si="6"/>
        <v>62.576735000484405</v>
      </c>
    </row>
    <row r="186" spans="1:9" ht="23.25" customHeight="1" outlineLevel="5">
      <c r="A186" s="37" t="s">
        <v>66</v>
      </c>
      <c r="B186" s="52" t="s">
        <v>39</v>
      </c>
      <c r="C186" s="52" t="s">
        <v>65</v>
      </c>
      <c r="D186" s="52"/>
      <c r="E186" s="54"/>
      <c r="F186" s="53"/>
      <c r="G186" s="88">
        <f>SUM(G187+G201+G198+G195)</f>
        <v>224949.80636000002</v>
      </c>
      <c r="H186" s="88">
        <f>SUM(H187+H201+H198+H195)</f>
        <v>140766.24421000003</v>
      </c>
      <c r="I186" s="88">
        <f t="shared" si="6"/>
        <v>62.576735000484405</v>
      </c>
    </row>
    <row r="187" spans="1:9" ht="36" customHeight="1" outlineLevel="5">
      <c r="A187" s="37" t="s">
        <v>307</v>
      </c>
      <c r="B187" s="52" t="s">
        <v>39</v>
      </c>
      <c r="C187" s="52" t="s">
        <v>65</v>
      </c>
      <c r="D187" s="52" t="s">
        <v>6</v>
      </c>
      <c r="E187" s="54">
        <v>0</v>
      </c>
      <c r="F187" s="53"/>
      <c r="G187" s="88">
        <f>SUM(G188+G191)</f>
        <v>9795.609530000002</v>
      </c>
      <c r="H187" s="88">
        <f>SUM(H188+H191)</f>
        <v>9479.04073</v>
      </c>
      <c r="I187" s="88">
        <f t="shared" si="6"/>
        <v>96.76825827907413</v>
      </c>
    </row>
    <row r="188" spans="1:9" ht="22.5" customHeight="1" outlineLevel="5">
      <c r="A188" s="37" t="s">
        <v>197</v>
      </c>
      <c r="B188" s="52" t="s">
        <v>39</v>
      </c>
      <c r="C188" s="52" t="s">
        <v>65</v>
      </c>
      <c r="D188" s="52" t="s">
        <v>6</v>
      </c>
      <c r="E188" s="54">
        <v>3</v>
      </c>
      <c r="F188" s="53"/>
      <c r="G188" s="88">
        <f>SUM(G189:G190)</f>
        <v>8314.43215</v>
      </c>
      <c r="H188" s="88">
        <f>SUM(H189:H190)</f>
        <v>8293.97315</v>
      </c>
      <c r="I188" s="88">
        <f t="shared" si="6"/>
        <v>99.75393388711457</v>
      </c>
    </row>
    <row r="189" spans="1:9" ht="24" hidden="1" outlineLevel="5">
      <c r="A189" s="37" t="s">
        <v>99</v>
      </c>
      <c r="B189" s="52" t="s">
        <v>39</v>
      </c>
      <c r="C189" s="52" t="s">
        <v>65</v>
      </c>
      <c r="D189" s="52" t="s">
        <v>6</v>
      </c>
      <c r="E189" s="54">
        <v>3</v>
      </c>
      <c r="F189" s="53">
        <v>200</v>
      </c>
      <c r="G189" s="88">
        <v>0</v>
      </c>
      <c r="H189" s="88">
        <v>0</v>
      </c>
      <c r="I189" s="88" t="e">
        <f t="shared" si="6"/>
        <v>#DIV/0!</v>
      </c>
    </row>
    <row r="190" spans="1:9" ht="24" outlineLevel="5">
      <c r="A190" s="37" t="s">
        <v>151</v>
      </c>
      <c r="B190" s="52" t="s">
        <v>39</v>
      </c>
      <c r="C190" s="52" t="s">
        <v>65</v>
      </c>
      <c r="D190" s="52" t="s">
        <v>6</v>
      </c>
      <c r="E190" s="54">
        <v>3</v>
      </c>
      <c r="F190" s="53">
        <v>600</v>
      </c>
      <c r="G190" s="88">
        <f>5000+263.1579+1000+52.63158+420+599+940+19.18367+20.459</f>
        <v>8314.43215</v>
      </c>
      <c r="H190" s="88">
        <v>8293.97315</v>
      </c>
      <c r="I190" s="88">
        <f t="shared" si="6"/>
        <v>99.75393388711457</v>
      </c>
    </row>
    <row r="191" spans="1:9" ht="27" customHeight="1" outlineLevel="5">
      <c r="A191" s="37" t="s">
        <v>180</v>
      </c>
      <c r="B191" s="52" t="s">
        <v>39</v>
      </c>
      <c r="C191" s="52" t="s">
        <v>65</v>
      </c>
      <c r="D191" s="52" t="s">
        <v>6</v>
      </c>
      <c r="E191" s="54">
        <v>4</v>
      </c>
      <c r="F191" s="53"/>
      <c r="G191" s="88">
        <f>SUM(G192:G194)</f>
        <v>1481.17738</v>
      </c>
      <c r="H191" s="88">
        <f>SUM(H192:H194)</f>
        <v>1185.06758</v>
      </c>
      <c r="I191" s="88">
        <f t="shared" si="6"/>
        <v>80.00848487167687</v>
      </c>
    </row>
    <row r="192" spans="1:9" ht="24" customHeight="1" outlineLevel="5">
      <c r="A192" s="37" t="s">
        <v>99</v>
      </c>
      <c r="B192" s="52" t="s">
        <v>39</v>
      </c>
      <c r="C192" s="52" t="s">
        <v>65</v>
      </c>
      <c r="D192" s="52" t="s">
        <v>6</v>
      </c>
      <c r="E192" s="54">
        <v>4</v>
      </c>
      <c r="F192" s="53">
        <v>200</v>
      </c>
      <c r="G192" s="88">
        <f>40-20-8</f>
        <v>12</v>
      </c>
      <c r="H192" s="88">
        <v>2.419</v>
      </c>
      <c r="I192" s="88">
        <f t="shared" si="6"/>
        <v>20.158333333333335</v>
      </c>
    </row>
    <row r="193" spans="1:9" ht="24" customHeight="1" outlineLevel="5">
      <c r="A193" s="37" t="s">
        <v>151</v>
      </c>
      <c r="B193" s="52" t="s">
        <v>39</v>
      </c>
      <c r="C193" s="52" t="s">
        <v>65</v>
      </c>
      <c r="D193" s="52" t="s">
        <v>6</v>
      </c>
      <c r="E193" s="54">
        <v>4</v>
      </c>
      <c r="F193" s="53">
        <v>600</v>
      </c>
      <c r="G193" s="88">
        <f>560-63.4542-80</f>
        <v>416.5458</v>
      </c>
      <c r="H193" s="88">
        <v>130.017</v>
      </c>
      <c r="I193" s="88">
        <f t="shared" si="6"/>
        <v>31.213134305999485</v>
      </c>
    </row>
    <row r="194" spans="1:9" ht="51.75" customHeight="1" outlineLevel="5">
      <c r="A194" s="37" t="s">
        <v>265</v>
      </c>
      <c r="B194" s="52" t="s">
        <v>39</v>
      </c>
      <c r="C194" s="52" t="s">
        <v>65</v>
      </c>
      <c r="D194" s="52" t="s">
        <v>6</v>
      </c>
      <c r="E194" s="54">
        <v>4</v>
      </c>
      <c r="F194" s="53">
        <v>600</v>
      </c>
      <c r="G194" s="88">
        <f>1000+52.63158</f>
        <v>1052.63158</v>
      </c>
      <c r="H194" s="88">
        <v>1052.63158</v>
      </c>
      <c r="I194" s="88">
        <f t="shared" si="6"/>
        <v>100</v>
      </c>
    </row>
    <row r="195" spans="1:9" ht="28.5" customHeight="1" hidden="1" outlineLevel="5">
      <c r="A195" s="37" t="s">
        <v>234</v>
      </c>
      <c r="B195" s="52" t="s">
        <v>39</v>
      </c>
      <c r="C195" s="52" t="s">
        <v>65</v>
      </c>
      <c r="D195" s="52" t="s">
        <v>18</v>
      </c>
      <c r="E195" s="54">
        <v>0</v>
      </c>
      <c r="F195" s="53"/>
      <c r="G195" s="88">
        <f>SUM(G196:G197)</f>
        <v>0</v>
      </c>
      <c r="H195" s="88">
        <f>SUM(H196:H197)</f>
        <v>0</v>
      </c>
      <c r="I195" s="88" t="e">
        <f t="shared" si="6"/>
        <v>#DIV/0!</v>
      </c>
    </row>
    <row r="196" spans="1:9" ht="61.5" customHeight="1" hidden="1" outlineLevel="5">
      <c r="A196" s="37" t="s">
        <v>268</v>
      </c>
      <c r="B196" s="52" t="s">
        <v>39</v>
      </c>
      <c r="C196" s="52" t="s">
        <v>65</v>
      </c>
      <c r="D196" s="52" t="s">
        <v>18</v>
      </c>
      <c r="E196" s="54">
        <v>0</v>
      </c>
      <c r="F196" s="53">
        <v>600</v>
      </c>
      <c r="G196" s="88">
        <v>0</v>
      </c>
      <c r="H196" s="88">
        <v>0</v>
      </c>
      <c r="I196" s="88" t="e">
        <f t="shared" si="6"/>
        <v>#DIV/0!</v>
      </c>
    </row>
    <row r="197" spans="1:9" ht="0.75" customHeight="1" hidden="1" outlineLevel="5">
      <c r="A197" s="37" t="s">
        <v>269</v>
      </c>
      <c r="B197" s="52" t="s">
        <v>39</v>
      </c>
      <c r="C197" s="52" t="s">
        <v>65</v>
      </c>
      <c r="D197" s="52" t="s">
        <v>18</v>
      </c>
      <c r="E197" s="54">
        <v>0</v>
      </c>
      <c r="F197" s="53">
        <v>600</v>
      </c>
      <c r="G197" s="88">
        <v>0</v>
      </c>
      <c r="H197" s="88">
        <v>0</v>
      </c>
      <c r="I197" s="88" t="e">
        <f t="shared" si="6"/>
        <v>#DIV/0!</v>
      </c>
    </row>
    <row r="198" spans="1:9" ht="75" customHeight="1" outlineLevel="3">
      <c r="A198" s="37" t="s">
        <v>328</v>
      </c>
      <c r="B198" s="52" t="s">
        <v>39</v>
      </c>
      <c r="C198" s="52" t="s">
        <v>65</v>
      </c>
      <c r="D198" s="52" t="s">
        <v>198</v>
      </c>
      <c r="E198" s="54">
        <v>0</v>
      </c>
      <c r="F198" s="53"/>
      <c r="G198" s="88">
        <f>SUM(G199:G200)</f>
        <v>1179.67726</v>
      </c>
      <c r="H198" s="88">
        <f>SUM(H199:H200)</f>
        <v>55.76404</v>
      </c>
      <c r="I198" s="88">
        <f t="shared" si="6"/>
        <v>4.727058992389156</v>
      </c>
    </row>
    <row r="199" spans="1:9" ht="27.75" customHeight="1" outlineLevel="3">
      <c r="A199" s="37" t="s">
        <v>99</v>
      </c>
      <c r="B199" s="52" t="s">
        <v>39</v>
      </c>
      <c r="C199" s="52" t="s">
        <v>65</v>
      </c>
      <c r="D199" s="52" t="s">
        <v>198</v>
      </c>
      <c r="E199" s="54">
        <v>0</v>
      </c>
      <c r="F199" s="53">
        <v>200</v>
      </c>
      <c r="G199" s="88">
        <v>46.18948</v>
      </c>
      <c r="H199" s="88">
        <v>0</v>
      </c>
      <c r="I199" s="88">
        <f t="shared" si="6"/>
        <v>0</v>
      </c>
    </row>
    <row r="200" spans="1:9" ht="24" outlineLevel="3">
      <c r="A200" s="37" t="s">
        <v>151</v>
      </c>
      <c r="B200" s="52" t="s">
        <v>39</v>
      </c>
      <c r="C200" s="52" t="s">
        <v>65</v>
      </c>
      <c r="D200" s="52" t="s">
        <v>198</v>
      </c>
      <c r="E200" s="54">
        <v>0</v>
      </c>
      <c r="F200" s="53">
        <v>600</v>
      </c>
      <c r="G200" s="88">
        <f>1133.48756+0.00022</f>
        <v>1133.48778</v>
      </c>
      <c r="H200" s="88">
        <v>55.76404</v>
      </c>
      <c r="I200" s="88">
        <f t="shared" si="6"/>
        <v>4.919686033139238</v>
      </c>
    </row>
    <row r="201" spans="1:9" ht="25.5" customHeight="1" outlineLevel="3">
      <c r="A201" s="37" t="s">
        <v>335</v>
      </c>
      <c r="B201" s="52" t="s">
        <v>39</v>
      </c>
      <c r="C201" s="52" t="s">
        <v>65</v>
      </c>
      <c r="D201" s="52" t="s">
        <v>20</v>
      </c>
      <c r="E201" s="54">
        <v>0</v>
      </c>
      <c r="F201" s="97"/>
      <c r="G201" s="96">
        <f>SUM(G202)</f>
        <v>213974.51957000003</v>
      </c>
      <c r="H201" s="96">
        <f>SUM(H202)</f>
        <v>131231.43944000002</v>
      </c>
      <c r="I201" s="88">
        <f t="shared" si="6"/>
        <v>61.33040499575404</v>
      </c>
    </row>
    <row r="202" spans="1:9" ht="15.75" outlineLevel="3">
      <c r="A202" s="37" t="s">
        <v>282</v>
      </c>
      <c r="B202" s="52" t="s">
        <v>39</v>
      </c>
      <c r="C202" s="52" t="s">
        <v>65</v>
      </c>
      <c r="D202" s="52" t="s">
        <v>20</v>
      </c>
      <c r="E202" s="54">
        <v>2</v>
      </c>
      <c r="F202" s="97"/>
      <c r="G202" s="96">
        <f>SUM(G203+G211)</f>
        <v>213974.51957000003</v>
      </c>
      <c r="H202" s="96">
        <f>SUM(H203+H211)</f>
        <v>131231.43944000002</v>
      </c>
      <c r="I202" s="88">
        <f t="shared" si="6"/>
        <v>61.33040499575404</v>
      </c>
    </row>
    <row r="203" spans="1:9" ht="18" customHeight="1" outlineLevel="3">
      <c r="A203" s="37" t="s">
        <v>69</v>
      </c>
      <c r="B203" s="52" t="s">
        <v>39</v>
      </c>
      <c r="C203" s="52" t="s">
        <v>65</v>
      </c>
      <c r="D203" s="52" t="s">
        <v>20</v>
      </c>
      <c r="E203" s="54">
        <v>2</v>
      </c>
      <c r="F203" s="53"/>
      <c r="G203" s="88">
        <f>SUM(G204:G210)</f>
        <v>23741.3</v>
      </c>
      <c r="H203" s="88">
        <f>SUM(H204:H210)</f>
        <v>15157.956009999998</v>
      </c>
      <c r="I203" s="88">
        <f aca="true" t="shared" si="7" ref="I203:I266">SUM(H203/G203)*100</f>
        <v>63.84636060367376</v>
      </c>
    </row>
    <row r="204" spans="1:9" ht="47.25" customHeight="1" outlineLevel="3">
      <c r="A204" s="37" t="s">
        <v>98</v>
      </c>
      <c r="B204" s="52" t="s">
        <v>39</v>
      </c>
      <c r="C204" s="52" t="s">
        <v>65</v>
      </c>
      <c r="D204" s="52" t="s">
        <v>20</v>
      </c>
      <c r="E204" s="54">
        <v>2</v>
      </c>
      <c r="F204" s="53">
        <v>100</v>
      </c>
      <c r="G204" s="88">
        <f>100+38.5901-43.595-94.9951</f>
        <v>0</v>
      </c>
      <c r="H204" s="88">
        <v>0</v>
      </c>
      <c r="I204" s="88">
        <v>0</v>
      </c>
    </row>
    <row r="205" spans="1:9" ht="24" outlineLevel="3">
      <c r="A205" s="37" t="s">
        <v>99</v>
      </c>
      <c r="B205" s="52" t="s">
        <v>39</v>
      </c>
      <c r="C205" s="52" t="s">
        <v>65</v>
      </c>
      <c r="D205" s="52" t="s">
        <v>20</v>
      </c>
      <c r="E205" s="54">
        <v>2</v>
      </c>
      <c r="F205" s="53">
        <v>200</v>
      </c>
      <c r="G205" s="88">
        <f>500-36.31633+63.595+22.9951</f>
        <v>550.27377</v>
      </c>
      <c r="H205" s="88">
        <v>302.97258</v>
      </c>
      <c r="I205" s="88">
        <f t="shared" si="7"/>
        <v>55.05851750847582</v>
      </c>
    </row>
    <row r="206" spans="1:9" ht="48" outlineLevel="3">
      <c r="A206" s="37" t="s">
        <v>277</v>
      </c>
      <c r="B206" s="52" t="s">
        <v>39</v>
      </c>
      <c r="C206" s="52" t="s">
        <v>65</v>
      </c>
      <c r="D206" s="52" t="s">
        <v>20</v>
      </c>
      <c r="E206" s="54">
        <v>2</v>
      </c>
      <c r="F206" s="53">
        <v>200</v>
      </c>
      <c r="G206" s="88">
        <v>31.5</v>
      </c>
      <c r="H206" s="88">
        <v>16.66936</v>
      </c>
      <c r="I206" s="88">
        <f t="shared" si="7"/>
        <v>52.91860317460318</v>
      </c>
    </row>
    <row r="207" spans="1:9" ht="15.75" outlineLevel="3">
      <c r="A207" s="37" t="s">
        <v>139</v>
      </c>
      <c r="B207" s="52" t="s">
        <v>39</v>
      </c>
      <c r="C207" s="52" t="s">
        <v>65</v>
      </c>
      <c r="D207" s="52" t="s">
        <v>20</v>
      </c>
      <c r="E207" s="54">
        <v>2</v>
      </c>
      <c r="F207" s="53">
        <v>800</v>
      </c>
      <c r="G207" s="88">
        <v>30</v>
      </c>
      <c r="H207" s="88">
        <v>19.53637</v>
      </c>
      <c r="I207" s="88">
        <f t="shared" si="7"/>
        <v>65.12123333333334</v>
      </c>
    </row>
    <row r="208" spans="1:9" ht="29.25" customHeight="1" outlineLevel="3">
      <c r="A208" s="37" t="s">
        <v>151</v>
      </c>
      <c r="B208" s="52" t="s">
        <v>39</v>
      </c>
      <c r="C208" s="52" t="s">
        <v>65</v>
      </c>
      <c r="D208" s="52" t="s">
        <v>20</v>
      </c>
      <c r="E208" s="54">
        <v>2</v>
      </c>
      <c r="F208" s="53">
        <v>600</v>
      </c>
      <c r="G208" s="88">
        <f>21000+36.31633-15-1.7+72</f>
        <v>21091.61633</v>
      </c>
      <c r="H208" s="88">
        <v>13713.60566</v>
      </c>
      <c r="I208" s="88">
        <f t="shared" si="7"/>
        <v>65.01922586413745</v>
      </c>
    </row>
    <row r="209" spans="1:9" ht="36.75" customHeight="1" outlineLevel="3">
      <c r="A209" s="37" t="s">
        <v>340</v>
      </c>
      <c r="B209" s="52" t="s">
        <v>39</v>
      </c>
      <c r="C209" s="52" t="s">
        <v>65</v>
      </c>
      <c r="D209" s="52" t="s">
        <v>20</v>
      </c>
      <c r="E209" s="54">
        <v>2</v>
      </c>
      <c r="F209" s="53">
        <v>600</v>
      </c>
      <c r="G209" s="88">
        <v>15</v>
      </c>
      <c r="H209" s="88">
        <v>14.36364</v>
      </c>
      <c r="I209" s="88">
        <f t="shared" si="7"/>
        <v>95.7576</v>
      </c>
    </row>
    <row r="210" spans="1:9" ht="52.5" customHeight="1" outlineLevel="3">
      <c r="A210" s="37" t="s">
        <v>294</v>
      </c>
      <c r="B210" s="52" t="s">
        <v>39</v>
      </c>
      <c r="C210" s="52" t="s">
        <v>65</v>
      </c>
      <c r="D210" s="52" t="s">
        <v>20</v>
      </c>
      <c r="E210" s="54">
        <v>2</v>
      </c>
      <c r="F210" s="53">
        <v>600</v>
      </c>
      <c r="G210" s="88">
        <f>2061.5-38.5901+36.31633-36.31633</f>
        <v>2022.9099</v>
      </c>
      <c r="H210" s="88">
        <v>1090.8084</v>
      </c>
      <c r="I210" s="88">
        <f t="shared" si="7"/>
        <v>53.92273773537812</v>
      </c>
    </row>
    <row r="211" spans="1:9" ht="18.75" customHeight="1" outlineLevel="3">
      <c r="A211" s="37" t="s">
        <v>156</v>
      </c>
      <c r="B211" s="52" t="s">
        <v>39</v>
      </c>
      <c r="C211" s="52" t="s">
        <v>65</v>
      </c>
      <c r="D211" s="52" t="s">
        <v>20</v>
      </c>
      <c r="E211" s="54">
        <v>2</v>
      </c>
      <c r="F211" s="53"/>
      <c r="G211" s="88">
        <f>SUM(G212:G224)</f>
        <v>190233.21957000004</v>
      </c>
      <c r="H211" s="88">
        <f>SUM(H212:H224)</f>
        <v>116073.48343000001</v>
      </c>
      <c r="I211" s="88">
        <f t="shared" si="7"/>
        <v>61.01641116749774</v>
      </c>
    </row>
    <row r="212" spans="1:9" ht="46.5" customHeight="1" outlineLevel="3">
      <c r="A212" s="37" t="s">
        <v>98</v>
      </c>
      <c r="B212" s="52" t="s">
        <v>39</v>
      </c>
      <c r="C212" s="52" t="s">
        <v>65</v>
      </c>
      <c r="D212" s="52" t="s">
        <v>20</v>
      </c>
      <c r="E212" s="54">
        <v>2</v>
      </c>
      <c r="F212" s="53">
        <v>100</v>
      </c>
      <c r="G212" s="88">
        <f>4722.3-293.4+1496.3</f>
        <v>5925.200000000001</v>
      </c>
      <c r="H212" s="88">
        <v>3153.3831</v>
      </c>
      <c r="I212" s="88">
        <f t="shared" si="7"/>
        <v>53.21985924525754</v>
      </c>
    </row>
    <row r="213" spans="1:9" ht="36" hidden="1" outlineLevel="3">
      <c r="A213" s="37" t="s">
        <v>278</v>
      </c>
      <c r="B213" s="52" t="s">
        <v>39</v>
      </c>
      <c r="C213" s="52" t="s">
        <v>65</v>
      </c>
      <c r="D213" s="52" t="s">
        <v>20</v>
      </c>
      <c r="E213" s="54">
        <v>2</v>
      </c>
      <c r="F213" s="53">
        <v>100</v>
      </c>
      <c r="G213" s="88">
        <v>0</v>
      </c>
      <c r="H213" s="88">
        <v>0</v>
      </c>
      <c r="I213" s="88" t="e">
        <f t="shared" si="7"/>
        <v>#DIV/0!</v>
      </c>
    </row>
    <row r="214" spans="1:9" ht="36" outlineLevel="3">
      <c r="A214" s="37" t="s">
        <v>273</v>
      </c>
      <c r="B214" s="52" t="s">
        <v>39</v>
      </c>
      <c r="C214" s="52" t="s">
        <v>65</v>
      </c>
      <c r="D214" s="52" t="s">
        <v>20</v>
      </c>
      <c r="E214" s="54">
        <v>2</v>
      </c>
      <c r="F214" s="53">
        <v>100</v>
      </c>
      <c r="G214" s="88">
        <v>625</v>
      </c>
      <c r="H214" s="88">
        <v>439.98773</v>
      </c>
      <c r="I214" s="88">
        <f t="shared" si="7"/>
        <v>70.3980368</v>
      </c>
    </row>
    <row r="215" spans="1:9" ht="27" customHeight="1" outlineLevel="3">
      <c r="A215" s="37" t="s">
        <v>99</v>
      </c>
      <c r="B215" s="52" t="s">
        <v>39</v>
      </c>
      <c r="C215" s="52" t="s">
        <v>65</v>
      </c>
      <c r="D215" s="52" t="s">
        <v>20</v>
      </c>
      <c r="E215" s="54">
        <v>2</v>
      </c>
      <c r="F215" s="53">
        <v>200</v>
      </c>
      <c r="G215" s="88">
        <f>40+80</f>
        <v>120</v>
      </c>
      <c r="H215" s="88">
        <v>93.78847</v>
      </c>
      <c r="I215" s="88">
        <f t="shared" si="7"/>
        <v>78.15705833333334</v>
      </c>
    </row>
    <row r="216" spans="1:9" ht="16.5" customHeight="1" outlineLevel="3">
      <c r="A216" s="37" t="s">
        <v>68</v>
      </c>
      <c r="B216" s="52" t="s">
        <v>39</v>
      </c>
      <c r="C216" s="52" t="s">
        <v>65</v>
      </c>
      <c r="D216" s="52" t="s">
        <v>20</v>
      </c>
      <c r="E216" s="54">
        <v>2</v>
      </c>
      <c r="F216" s="53">
        <v>200</v>
      </c>
      <c r="G216" s="88">
        <v>56.6</v>
      </c>
      <c r="H216" s="88">
        <v>35.83958</v>
      </c>
      <c r="I216" s="88">
        <f t="shared" si="7"/>
        <v>63.32081272084805</v>
      </c>
    </row>
    <row r="217" spans="1:9" ht="34.5" customHeight="1" outlineLevel="3">
      <c r="A217" s="37" t="s">
        <v>276</v>
      </c>
      <c r="B217" s="52" t="s">
        <v>39</v>
      </c>
      <c r="C217" s="52" t="s">
        <v>65</v>
      </c>
      <c r="D217" s="52" t="s">
        <v>20</v>
      </c>
      <c r="E217" s="54">
        <v>2</v>
      </c>
      <c r="F217" s="53">
        <v>200</v>
      </c>
      <c r="G217" s="88">
        <v>96.5</v>
      </c>
      <c r="H217" s="88">
        <v>51.14737</v>
      </c>
      <c r="I217" s="88">
        <f t="shared" si="7"/>
        <v>53.00245595854922</v>
      </c>
    </row>
    <row r="218" spans="1:9" ht="48" outlineLevel="3">
      <c r="A218" s="37" t="s">
        <v>293</v>
      </c>
      <c r="B218" s="52" t="s">
        <v>39</v>
      </c>
      <c r="C218" s="52" t="s">
        <v>65</v>
      </c>
      <c r="D218" s="52" t="s">
        <v>20</v>
      </c>
      <c r="E218" s="54">
        <v>2</v>
      </c>
      <c r="F218" s="53">
        <v>600</v>
      </c>
      <c r="G218" s="88">
        <f>6415.1-G217-0.02383-111.43115</f>
        <v>6207.14502</v>
      </c>
      <c r="H218" s="88">
        <v>3346.98008</v>
      </c>
      <c r="I218" s="88">
        <f t="shared" si="7"/>
        <v>53.921409427614755</v>
      </c>
    </row>
    <row r="219" spans="1:9" ht="15.75" customHeight="1" outlineLevel="3">
      <c r="A219" s="37" t="s">
        <v>67</v>
      </c>
      <c r="B219" s="52" t="s">
        <v>39</v>
      </c>
      <c r="C219" s="52" t="s">
        <v>65</v>
      </c>
      <c r="D219" s="52" t="s">
        <v>20</v>
      </c>
      <c r="E219" s="54">
        <v>2</v>
      </c>
      <c r="F219" s="53">
        <v>600</v>
      </c>
      <c r="G219" s="88">
        <f>157087.2-G212-G215+7532.7</f>
        <v>158574.7</v>
      </c>
      <c r="H219" s="88">
        <v>95595.87074</v>
      </c>
      <c r="I219" s="88">
        <f t="shared" si="7"/>
        <v>60.2844405444248</v>
      </c>
    </row>
    <row r="220" spans="1:9" ht="36.75" customHeight="1" outlineLevel="3">
      <c r="A220" s="37" t="s">
        <v>345</v>
      </c>
      <c r="B220" s="52" t="s">
        <v>39</v>
      </c>
      <c r="C220" s="52" t="s">
        <v>65</v>
      </c>
      <c r="D220" s="52" t="s">
        <v>20</v>
      </c>
      <c r="E220" s="54">
        <v>2</v>
      </c>
      <c r="F220" s="53">
        <v>600</v>
      </c>
      <c r="G220" s="88">
        <v>0</v>
      </c>
      <c r="H220" s="88">
        <v>0</v>
      </c>
      <c r="I220" s="88">
        <v>0</v>
      </c>
    </row>
    <row r="221" spans="1:9" ht="36" outlineLevel="3">
      <c r="A221" s="37" t="s">
        <v>273</v>
      </c>
      <c r="B221" s="52" t="s">
        <v>39</v>
      </c>
      <c r="C221" s="52" t="s">
        <v>65</v>
      </c>
      <c r="D221" s="52" t="s">
        <v>20</v>
      </c>
      <c r="E221" s="54">
        <v>2</v>
      </c>
      <c r="F221" s="53">
        <v>600</v>
      </c>
      <c r="G221" s="88">
        <f>13487.4-G214+0.043</f>
        <v>12862.443</v>
      </c>
      <c r="H221" s="88">
        <v>10633.52227</v>
      </c>
      <c r="I221" s="88">
        <f t="shared" si="7"/>
        <v>82.67109343069586</v>
      </c>
    </row>
    <row r="222" spans="1:9" ht="14.25" customHeight="1" outlineLevel="3">
      <c r="A222" s="37" t="s">
        <v>68</v>
      </c>
      <c r="B222" s="52" t="s">
        <v>39</v>
      </c>
      <c r="C222" s="52" t="s">
        <v>65</v>
      </c>
      <c r="D222" s="52" t="s">
        <v>20</v>
      </c>
      <c r="E222" s="54">
        <v>2</v>
      </c>
      <c r="F222" s="53">
        <v>600</v>
      </c>
      <c r="G222" s="88">
        <f>5208.8-G216+348.5</f>
        <v>5500.7</v>
      </c>
      <c r="H222" s="88">
        <v>2479.25902</v>
      </c>
      <c r="I222" s="88">
        <f t="shared" si="7"/>
        <v>45.07170032904903</v>
      </c>
    </row>
    <row r="223" spans="1:9" ht="34.5" customHeight="1" outlineLevel="3">
      <c r="A223" s="37" t="s">
        <v>339</v>
      </c>
      <c r="B223" s="52" t="s">
        <v>39</v>
      </c>
      <c r="C223" s="52" t="s">
        <v>65</v>
      </c>
      <c r="D223" s="52" t="s">
        <v>20</v>
      </c>
      <c r="E223" s="54">
        <v>2</v>
      </c>
      <c r="F223" s="53">
        <v>600</v>
      </c>
      <c r="G223" s="88">
        <v>150</v>
      </c>
      <c r="H223" s="88">
        <v>148.43636</v>
      </c>
      <c r="I223" s="88">
        <f t="shared" si="7"/>
        <v>98.95757333333334</v>
      </c>
    </row>
    <row r="224" spans="1:9" ht="24" customHeight="1" outlineLevel="3">
      <c r="A224" s="37" t="s">
        <v>155</v>
      </c>
      <c r="B224" s="52" t="s">
        <v>39</v>
      </c>
      <c r="C224" s="52" t="s">
        <v>65</v>
      </c>
      <c r="D224" s="52" t="s">
        <v>20</v>
      </c>
      <c r="E224" s="54">
        <v>2</v>
      </c>
      <c r="F224" s="53">
        <v>600</v>
      </c>
      <c r="G224" s="88">
        <f>113+1.7+0.23155</f>
        <v>114.93155</v>
      </c>
      <c r="H224" s="88">
        <v>95.26871</v>
      </c>
      <c r="I224" s="88">
        <f t="shared" si="7"/>
        <v>82.89169510025751</v>
      </c>
    </row>
    <row r="225" spans="1:9" ht="13.5" customHeight="1" outlineLevel="1">
      <c r="A225" s="37" t="s">
        <v>202</v>
      </c>
      <c r="B225" s="52" t="s">
        <v>39</v>
      </c>
      <c r="C225" s="52" t="s">
        <v>203</v>
      </c>
      <c r="D225" s="52"/>
      <c r="E225" s="54"/>
      <c r="F225" s="53"/>
      <c r="G225" s="88">
        <f>SUM(G229+G226)</f>
        <v>10973.630009999999</v>
      </c>
      <c r="H225" s="88">
        <f>SUM(H229+H226)</f>
        <v>7918.54307</v>
      </c>
      <c r="I225" s="88">
        <f t="shared" si="7"/>
        <v>72.15974169699567</v>
      </c>
    </row>
    <row r="226" spans="1:9" ht="0.75" customHeight="1" hidden="1" outlineLevel="1">
      <c r="A226" s="37" t="s">
        <v>244</v>
      </c>
      <c r="B226" s="52" t="s">
        <v>39</v>
      </c>
      <c r="C226" s="52" t="s">
        <v>203</v>
      </c>
      <c r="D226" s="52" t="s">
        <v>6</v>
      </c>
      <c r="E226" s="54">
        <v>0</v>
      </c>
      <c r="F226" s="53"/>
      <c r="G226" s="88">
        <f>SUM(G227)</f>
        <v>0</v>
      </c>
      <c r="H226" s="88">
        <f>SUM(H227)</f>
        <v>0</v>
      </c>
      <c r="I226" s="88" t="e">
        <f t="shared" si="7"/>
        <v>#DIV/0!</v>
      </c>
    </row>
    <row r="227" spans="1:9" ht="36" hidden="1" outlineLevel="1">
      <c r="A227" s="37" t="s">
        <v>197</v>
      </c>
      <c r="B227" s="52" t="s">
        <v>39</v>
      </c>
      <c r="C227" s="52" t="s">
        <v>203</v>
      </c>
      <c r="D227" s="52" t="s">
        <v>6</v>
      </c>
      <c r="E227" s="54">
        <v>3</v>
      </c>
      <c r="F227" s="53"/>
      <c r="G227" s="88">
        <f>SUM(G228:G228)</f>
        <v>0</v>
      </c>
      <c r="H227" s="88">
        <f>SUM(H228:H228)</f>
        <v>0</v>
      </c>
      <c r="I227" s="88" t="e">
        <f t="shared" si="7"/>
        <v>#DIV/0!</v>
      </c>
    </row>
    <row r="228" spans="1:9" ht="24" hidden="1" outlineLevel="1">
      <c r="A228" s="37" t="s">
        <v>151</v>
      </c>
      <c r="B228" s="52" t="s">
        <v>39</v>
      </c>
      <c r="C228" s="52" t="s">
        <v>203</v>
      </c>
      <c r="D228" s="52" t="s">
        <v>6</v>
      </c>
      <c r="E228" s="54">
        <v>3</v>
      </c>
      <c r="F228" s="53">
        <v>600</v>
      </c>
      <c r="G228" s="88">
        <v>0</v>
      </c>
      <c r="H228" s="88">
        <v>0</v>
      </c>
      <c r="I228" s="88" t="e">
        <f t="shared" si="7"/>
        <v>#DIV/0!</v>
      </c>
    </row>
    <row r="229" spans="1:9" ht="28.5" customHeight="1" outlineLevel="1">
      <c r="A229" s="37" t="s">
        <v>335</v>
      </c>
      <c r="B229" s="52" t="s">
        <v>39</v>
      </c>
      <c r="C229" s="52" t="s">
        <v>203</v>
      </c>
      <c r="D229" s="52" t="s">
        <v>20</v>
      </c>
      <c r="E229" s="54">
        <v>0</v>
      </c>
      <c r="F229" s="53"/>
      <c r="G229" s="88">
        <f>SUM(G230)</f>
        <v>10973.630009999999</v>
      </c>
      <c r="H229" s="88">
        <f>SUM(H230)</f>
        <v>7918.54307</v>
      </c>
      <c r="I229" s="88">
        <f t="shared" si="7"/>
        <v>72.15974169699567</v>
      </c>
    </row>
    <row r="230" spans="1:9" ht="20.25" customHeight="1" outlineLevel="1">
      <c r="A230" s="37" t="s">
        <v>283</v>
      </c>
      <c r="B230" s="52" t="s">
        <v>39</v>
      </c>
      <c r="C230" s="52" t="s">
        <v>203</v>
      </c>
      <c r="D230" s="52" t="s">
        <v>20</v>
      </c>
      <c r="E230" s="54">
        <v>3</v>
      </c>
      <c r="F230" s="53"/>
      <c r="G230" s="88">
        <f>SUM(G231:G233)</f>
        <v>10973.630009999999</v>
      </c>
      <c r="H230" s="88">
        <f>SUM(H231:H233)</f>
        <v>7918.54307</v>
      </c>
      <c r="I230" s="88">
        <f t="shared" si="7"/>
        <v>72.15974169699567</v>
      </c>
    </row>
    <row r="231" spans="1:9" ht="28.5" customHeight="1" outlineLevel="1">
      <c r="A231" s="37" t="s">
        <v>292</v>
      </c>
      <c r="B231" s="52" t="s">
        <v>39</v>
      </c>
      <c r="C231" s="52" t="s">
        <v>203</v>
      </c>
      <c r="D231" s="52" t="s">
        <v>20</v>
      </c>
      <c r="E231" s="54">
        <v>3</v>
      </c>
      <c r="F231" s="53">
        <v>600</v>
      </c>
      <c r="G231" s="88">
        <f>6000-100</f>
        <v>5900</v>
      </c>
      <c r="H231" s="88">
        <v>3989.27416</v>
      </c>
      <c r="I231" s="88">
        <f t="shared" si="7"/>
        <v>67.61481627118644</v>
      </c>
    </row>
    <row r="232" spans="1:9" ht="24" customHeight="1" outlineLevel="1">
      <c r="A232" s="37" t="s">
        <v>291</v>
      </c>
      <c r="B232" s="52" t="s">
        <v>39</v>
      </c>
      <c r="C232" s="52" t="s">
        <v>203</v>
      </c>
      <c r="D232" s="52" t="s">
        <v>20</v>
      </c>
      <c r="E232" s="54">
        <v>3</v>
      </c>
      <c r="F232" s="53">
        <v>600</v>
      </c>
      <c r="G232" s="88">
        <f>4300+751.31312</f>
        <v>5051.31312</v>
      </c>
      <c r="H232" s="88">
        <v>3912.12453</v>
      </c>
      <c r="I232" s="88">
        <f t="shared" si="7"/>
        <v>77.44767423960445</v>
      </c>
    </row>
    <row r="233" spans="1:9" ht="24" customHeight="1" outlineLevel="1">
      <c r="A233" s="37" t="s">
        <v>155</v>
      </c>
      <c r="B233" s="52" t="s">
        <v>39</v>
      </c>
      <c r="C233" s="52" t="s">
        <v>203</v>
      </c>
      <c r="D233" s="52" t="s">
        <v>20</v>
      </c>
      <c r="E233" s="54">
        <v>3</v>
      </c>
      <c r="F233" s="53">
        <v>600</v>
      </c>
      <c r="G233" s="88">
        <f>22.31689</f>
        <v>22.31689</v>
      </c>
      <c r="H233" s="88">
        <v>17.14438</v>
      </c>
      <c r="I233" s="88">
        <f t="shared" si="7"/>
        <v>76.82244255359954</v>
      </c>
    </row>
    <row r="234" spans="1:9" ht="15" customHeight="1" outlineLevel="1">
      <c r="A234" s="38" t="s">
        <v>287</v>
      </c>
      <c r="B234" s="52" t="s">
        <v>39</v>
      </c>
      <c r="C234" s="52" t="s">
        <v>71</v>
      </c>
      <c r="D234" s="52" t="s">
        <v>0</v>
      </c>
      <c r="E234" s="54" t="s">
        <v>0</v>
      </c>
      <c r="F234" s="53"/>
      <c r="G234" s="88">
        <f>SUM(G235+G245)</f>
        <v>4660</v>
      </c>
      <c r="H234" s="88">
        <f>SUM(H235+H245)</f>
        <v>3627.80209</v>
      </c>
      <c r="I234" s="88">
        <f t="shared" si="7"/>
        <v>77.84983025751073</v>
      </c>
    </row>
    <row r="235" spans="1:9" ht="50.25" customHeight="1" outlineLevel="1">
      <c r="A235" s="38" t="s">
        <v>326</v>
      </c>
      <c r="B235" s="52" t="s">
        <v>39</v>
      </c>
      <c r="C235" s="52" t="s">
        <v>71</v>
      </c>
      <c r="D235" s="52" t="s">
        <v>24</v>
      </c>
      <c r="E235" s="54">
        <v>0</v>
      </c>
      <c r="F235" s="53"/>
      <c r="G235" s="88">
        <f>SUM(G236+G238+G241+G243)</f>
        <v>60</v>
      </c>
      <c r="H235" s="88">
        <f>SUM(H236+H238+H241+H243)</f>
        <v>46.5</v>
      </c>
      <c r="I235" s="88">
        <f t="shared" si="7"/>
        <v>77.5</v>
      </c>
    </row>
    <row r="236" spans="1:9" ht="20.25" customHeight="1" outlineLevel="3">
      <c r="A236" s="37" t="s">
        <v>157</v>
      </c>
      <c r="B236" s="52" t="s">
        <v>39</v>
      </c>
      <c r="C236" s="52" t="s">
        <v>71</v>
      </c>
      <c r="D236" s="52" t="s">
        <v>24</v>
      </c>
      <c r="E236" s="54">
        <v>1</v>
      </c>
      <c r="F236" s="53"/>
      <c r="G236" s="88">
        <f>SUM(G237)</f>
        <v>20</v>
      </c>
      <c r="H236" s="88">
        <f>SUM(H237)</f>
        <v>16.5</v>
      </c>
      <c r="I236" s="88">
        <f t="shared" si="7"/>
        <v>82.5</v>
      </c>
    </row>
    <row r="237" spans="1:9" ht="21.75" customHeight="1" outlineLevel="3">
      <c r="A237" s="37" t="s">
        <v>99</v>
      </c>
      <c r="B237" s="52" t="s">
        <v>39</v>
      </c>
      <c r="C237" s="52" t="s">
        <v>71</v>
      </c>
      <c r="D237" s="52" t="s">
        <v>24</v>
      </c>
      <c r="E237" s="54">
        <v>1</v>
      </c>
      <c r="F237" s="53">
        <v>200</v>
      </c>
      <c r="G237" s="88">
        <f>50-20-10</f>
        <v>20</v>
      </c>
      <c r="H237" s="88">
        <v>16.5</v>
      </c>
      <c r="I237" s="88">
        <f t="shared" si="7"/>
        <v>82.5</v>
      </c>
    </row>
    <row r="238" spans="1:9" s="12" customFormat="1" ht="29.25" customHeight="1" outlineLevel="2">
      <c r="A238" s="37" t="s">
        <v>158</v>
      </c>
      <c r="B238" s="52" t="s">
        <v>39</v>
      </c>
      <c r="C238" s="52" t="s">
        <v>71</v>
      </c>
      <c r="D238" s="52" t="s">
        <v>24</v>
      </c>
      <c r="E238" s="54">
        <v>2</v>
      </c>
      <c r="F238" s="53"/>
      <c r="G238" s="88">
        <f>SUM(G239:G240)</f>
        <v>30</v>
      </c>
      <c r="H238" s="88">
        <f>SUM(H239:H240)</f>
        <v>30</v>
      </c>
      <c r="I238" s="88">
        <f t="shared" si="7"/>
        <v>100</v>
      </c>
    </row>
    <row r="239" spans="1:9" s="12" customFormat="1" ht="27" customHeight="1" outlineLevel="2">
      <c r="A239" s="37" t="s">
        <v>99</v>
      </c>
      <c r="B239" s="52" t="s">
        <v>39</v>
      </c>
      <c r="C239" s="52" t="s">
        <v>71</v>
      </c>
      <c r="D239" s="52" t="s">
        <v>24</v>
      </c>
      <c r="E239" s="54">
        <v>2</v>
      </c>
      <c r="F239" s="53">
        <v>200</v>
      </c>
      <c r="G239" s="88">
        <f>100-60-10</f>
        <v>30</v>
      </c>
      <c r="H239" s="88">
        <v>30</v>
      </c>
      <c r="I239" s="88">
        <f t="shared" si="7"/>
        <v>100</v>
      </c>
    </row>
    <row r="240" spans="1:9" s="12" customFormat="1" ht="66.75" customHeight="1" hidden="1" outlineLevel="2">
      <c r="A240" s="37" t="s">
        <v>321</v>
      </c>
      <c r="B240" s="52" t="s">
        <v>39</v>
      </c>
      <c r="C240" s="52" t="s">
        <v>71</v>
      </c>
      <c r="D240" s="52" t="s">
        <v>24</v>
      </c>
      <c r="E240" s="54">
        <v>2</v>
      </c>
      <c r="F240" s="53">
        <v>200</v>
      </c>
      <c r="G240" s="88">
        <f>10.5-10.5</f>
        <v>0</v>
      </c>
      <c r="H240" s="88">
        <f>10.5-10.5</f>
        <v>0</v>
      </c>
      <c r="I240" s="88" t="e">
        <f t="shared" si="7"/>
        <v>#DIV/0!</v>
      </c>
    </row>
    <row r="241" spans="1:9" s="12" customFormat="1" ht="24.75" customHeight="1" outlineLevel="2">
      <c r="A241" s="37" t="s">
        <v>223</v>
      </c>
      <c r="B241" s="52" t="s">
        <v>39</v>
      </c>
      <c r="C241" s="52" t="s">
        <v>71</v>
      </c>
      <c r="D241" s="52" t="s">
        <v>24</v>
      </c>
      <c r="E241" s="54">
        <v>3</v>
      </c>
      <c r="F241" s="53"/>
      <c r="G241" s="88">
        <f>SUM(G242)</f>
        <v>10</v>
      </c>
      <c r="H241" s="88">
        <f>SUM(H242)</f>
        <v>0</v>
      </c>
      <c r="I241" s="88">
        <f t="shared" si="7"/>
        <v>0</v>
      </c>
    </row>
    <row r="242" spans="1:9" s="12" customFormat="1" ht="24" outlineLevel="2">
      <c r="A242" s="37" t="s">
        <v>99</v>
      </c>
      <c r="B242" s="52" t="s">
        <v>39</v>
      </c>
      <c r="C242" s="52" t="s">
        <v>71</v>
      </c>
      <c r="D242" s="52" t="s">
        <v>24</v>
      </c>
      <c r="E242" s="54">
        <v>3</v>
      </c>
      <c r="F242" s="53">
        <v>200</v>
      </c>
      <c r="G242" s="88">
        <v>10</v>
      </c>
      <c r="H242" s="88">
        <v>0</v>
      </c>
      <c r="I242" s="88">
        <f t="shared" si="7"/>
        <v>0</v>
      </c>
    </row>
    <row r="243" spans="1:9" s="12" customFormat="1" ht="15.75" hidden="1" outlineLevel="2">
      <c r="A243" s="37"/>
      <c r="B243" s="52" t="s">
        <v>39</v>
      </c>
      <c r="C243" s="52" t="s">
        <v>71</v>
      </c>
      <c r="D243" s="52" t="s">
        <v>24</v>
      </c>
      <c r="E243" s="54">
        <v>3</v>
      </c>
      <c r="F243" s="53"/>
      <c r="G243" s="88">
        <f>SUM(G244)</f>
        <v>0</v>
      </c>
      <c r="H243" s="88">
        <f>SUM(H244)</f>
        <v>0</v>
      </c>
      <c r="I243" s="88" t="e">
        <f t="shared" si="7"/>
        <v>#DIV/0!</v>
      </c>
    </row>
    <row r="244" spans="1:9" s="12" customFormat="1" ht="15.75" hidden="1" outlineLevel="2">
      <c r="A244" s="37"/>
      <c r="B244" s="52" t="s">
        <v>39</v>
      </c>
      <c r="C244" s="52" t="s">
        <v>71</v>
      </c>
      <c r="D244" s="52" t="s">
        <v>24</v>
      </c>
      <c r="E244" s="54">
        <v>3</v>
      </c>
      <c r="F244" s="53">
        <v>200</v>
      </c>
      <c r="G244" s="88">
        <v>0</v>
      </c>
      <c r="H244" s="88">
        <v>0</v>
      </c>
      <c r="I244" s="88" t="e">
        <f t="shared" si="7"/>
        <v>#DIV/0!</v>
      </c>
    </row>
    <row r="245" spans="1:9" ht="35.25" customHeight="1" outlineLevel="3">
      <c r="A245" s="38" t="s">
        <v>309</v>
      </c>
      <c r="B245" s="52" t="s">
        <v>39</v>
      </c>
      <c r="C245" s="52" t="s">
        <v>71</v>
      </c>
      <c r="D245" s="52" t="s">
        <v>21</v>
      </c>
      <c r="E245" s="54">
        <v>0</v>
      </c>
      <c r="F245" s="53"/>
      <c r="G245" s="88">
        <f>SUM(G246)</f>
        <v>4600</v>
      </c>
      <c r="H245" s="88">
        <f>SUM(H246)</f>
        <v>3581.30209</v>
      </c>
      <c r="I245" s="88">
        <f t="shared" si="7"/>
        <v>77.85439326086957</v>
      </c>
    </row>
    <row r="246" spans="1:9" ht="22.5" customHeight="1" outlineLevel="2">
      <c r="A246" s="37" t="s">
        <v>151</v>
      </c>
      <c r="B246" s="52" t="s">
        <v>39</v>
      </c>
      <c r="C246" s="52" t="s">
        <v>71</v>
      </c>
      <c r="D246" s="52" t="s">
        <v>21</v>
      </c>
      <c r="E246" s="54">
        <v>0</v>
      </c>
      <c r="F246" s="53">
        <v>600</v>
      </c>
      <c r="G246" s="88">
        <f>5100-200-300</f>
        <v>4600</v>
      </c>
      <c r="H246" s="88">
        <v>3581.30209</v>
      </c>
      <c r="I246" s="88">
        <f t="shared" si="7"/>
        <v>77.85439326086957</v>
      </c>
    </row>
    <row r="247" spans="1:9" ht="16.5" customHeight="1" outlineLevel="2">
      <c r="A247" s="37" t="s">
        <v>72</v>
      </c>
      <c r="B247" s="52" t="s">
        <v>39</v>
      </c>
      <c r="C247" s="52" t="s">
        <v>73</v>
      </c>
      <c r="D247" s="52"/>
      <c r="E247" s="54"/>
      <c r="F247" s="53"/>
      <c r="G247" s="88">
        <f>SUM(G252+G258+G248)</f>
        <v>8060.17536</v>
      </c>
      <c r="H247" s="88">
        <f>SUM(H252+H258+H248)</f>
        <v>6497.09087</v>
      </c>
      <c r="I247" s="88">
        <f t="shared" si="7"/>
        <v>80.60731410687323</v>
      </c>
    </row>
    <row r="248" spans="1:9" ht="30" customHeight="1" outlineLevel="2">
      <c r="A248" s="37" t="s">
        <v>335</v>
      </c>
      <c r="B248" s="52" t="s">
        <v>39</v>
      </c>
      <c r="C248" s="52" t="s">
        <v>73</v>
      </c>
      <c r="D248" s="52" t="s">
        <v>20</v>
      </c>
      <c r="E248" s="54">
        <v>0</v>
      </c>
      <c r="F248" s="55"/>
      <c r="G248" s="88">
        <f>SUM(G249)</f>
        <v>3726.42536</v>
      </c>
      <c r="H248" s="88">
        <f>SUM(H249)</f>
        <v>2845.8494100000003</v>
      </c>
      <c r="I248" s="88">
        <f t="shared" si="7"/>
        <v>76.36941935152566</v>
      </c>
    </row>
    <row r="249" spans="1:9" ht="21" customHeight="1" outlineLevel="2">
      <c r="A249" s="37" t="s">
        <v>282</v>
      </c>
      <c r="B249" s="52" t="s">
        <v>39</v>
      </c>
      <c r="C249" s="52" t="s">
        <v>73</v>
      </c>
      <c r="D249" s="52" t="s">
        <v>20</v>
      </c>
      <c r="E249" s="54">
        <v>2</v>
      </c>
      <c r="F249" s="55"/>
      <c r="G249" s="88">
        <f>SUM(G250:G251)</f>
        <v>3726.42536</v>
      </c>
      <c r="H249" s="88">
        <f>SUM(H250:H251)</f>
        <v>2845.8494100000003</v>
      </c>
      <c r="I249" s="88">
        <f t="shared" si="7"/>
        <v>76.36941935152566</v>
      </c>
    </row>
    <row r="250" spans="1:9" ht="45.75" customHeight="1" outlineLevel="2">
      <c r="A250" s="37" t="s">
        <v>98</v>
      </c>
      <c r="B250" s="52" t="s">
        <v>39</v>
      </c>
      <c r="C250" s="52" t="s">
        <v>73</v>
      </c>
      <c r="D250" s="52" t="s">
        <v>20</v>
      </c>
      <c r="E250" s="54">
        <v>2</v>
      </c>
      <c r="F250" s="55">
        <v>100</v>
      </c>
      <c r="G250" s="88">
        <v>229.152</v>
      </c>
      <c r="H250" s="88">
        <v>178.76976</v>
      </c>
      <c r="I250" s="88">
        <f t="shared" si="7"/>
        <v>78.01361541684122</v>
      </c>
    </row>
    <row r="251" spans="1:9" ht="54.75" customHeight="1" outlineLevel="2">
      <c r="A251" s="37" t="s">
        <v>344</v>
      </c>
      <c r="B251" s="52" t="s">
        <v>39</v>
      </c>
      <c r="C251" s="52" t="s">
        <v>73</v>
      </c>
      <c r="D251" s="52" t="s">
        <v>20</v>
      </c>
      <c r="E251" s="54">
        <v>2</v>
      </c>
      <c r="F251" s="55">
        <v>600</v>
      </c>
      <c r="G251" s="88">
        <f>3726.42536-229.152</f>
        <v>3497.27336</v>
      </c>
      <c r="H251" s="88">
        <v>2667.07965</v>
      </c>
      <c r="I251" s="88">
        <f t="shared" si="7"/>
        <v>76.26168661862908</v>
      </c>
    </row>
    <row r="252" spans="1:9" ht="15.75" outlineLevel="3">
      <c r="A252" s="38" t="s">
        <v>159</v>
      </c>
      <c r="B252" s="52" t="s">
        <v>39</v>
      </c>
      <c r="C252" s="52" t="s">
        <v>73</v>
      </c>
      <c r="D252" s="52" t="s">
        <v>16</v>
      </c>
      <c r="E252" s="54">
        <v>0</v>
      </c>
      <c r="F252" s="53"/>
      <c r="G252" s="88">
        <f>SUM(G253)</f>
        <v>2683.75</v>
      </c>
      <c r="H252" s="88">
        <f>SUM(H253)</f>
        <v>2603.411</v>
      </c>
      <c r="I252" s="88">
        <f t="shared" si="7"/>
        <v>97.006464834653</v>
      </c>
    </row>
    <row r="253" spans="1:9" ht="24" outlineLevel="3">
      <c r="A253" s="37" t="s">
        <v>150</v>
      </c>
      <c r="B253" s="52" t="s">
        <v>39</v>
      </c>
      <c r="C253" s="52" t="s">
        <v>73</v>
      </c>
      <c r="D253" s="52" t="s">
        <v>16</v>
      </c>
      <c r="E253" s="54">
        <v>0</v>
      </c>
      <c r="F253" s="53"/>
      <c r="G253" s="88">
        <f>SUM(G254:G255)</f>
        <v>2683.75</v>
      </c>
      <c r="H253" s="88">
        <f>SUM(H254:H255)</f>
        <v>2603.411</v>
      </c>
      <c r="I253" s="88">
        <f t="shared" si="7"/>
        <v>97.006464834653</v>
      </c>
    </row>
    <row r="254" spans="1:9" ht="36" outlineLevel="1">
      <c r="A254" s="38" t="s">
        <v>160</v>
      </c>
      <c r="B254" s="52" t="s">
        <v>39</v>
      </c>
      <c r="C254" s="52" t="s">
        <v>73</v>
      </c>
      <c r="D254" s="52" t="s">
        <v>16</v>
      </c>
      <c r="E254" s="54">
        <v>0</v>
      </c>
      <c r="F254" s="53">
        <v>600</v>
      </c>
      <c r="G254" s="88">
        <f>2272.3+143.1</f>
        <v>2415.4</v>
      </c>
      <c r="H254" s="88">
        <v>2343.07</v>
      </c>
      <c r="I254" s="88">
        <f t="shared" si="7"/>
        <v>97.00546493334437</v>
      </c>
    </row>
    <row r="255" spans="1:9" ht="24" customHeight="1" outlineLevel="1">
      <c r="A255" s="37" t="s">
        <v>151</v>
      </c>
      <c r="B255" s="52" t="s">
        <v>39</v>
      </c>
      <c r="C255" s="52" t="s">
        <v>73</v>
      </c>
      <c r="D255" s="52" t="s">
        <v>16</v>
      </c>
      <c r="E255" s="54">
        <v>0</v>
      </c>
      <c r="F255" s="53">
        <v>600</v>
      </c>
      <c r="G255" s="88">
        <f>252.5-0.022+15.872</f>
        <v>268.35</v>
      </c>
      <c r="H255" s="88">
        <v>260.341</v>
      </c>
      <c r="I255" s="88">
        <f t="shared" si="7"/>
        <v>97.0154648779579</v>
      </c>
    </row>
    <row r="256" spans="1:9" ht="0.75" customHeight="1" hidden="1" outlineLevel="1">
      <c r="A256" s="37" t="s">
        <v>240</v>
      </c>
      <c r="B256" s="52" t="s">
        <v>39</v>
      </c>
      <c r="C256" s="52" t="s">
        <v>73</v>
      </c>
      <c r="D256" s="52" t="s">
        <v>199</v>
      </c>
      <c r="E256" s="54">
        <v>0</v>
      </c>
      <c r="F256" s="55"/>
      <c r="G256" s="88">
        <f>SUM(G257)</f>
        <v>0</v>
      </c>
      <c r="H256" s="88">
        <f>SUM(H257)</f>
        <v>0</v>
      </c>
      <c r="I256" s="88" t="e">
        <f t="shared" si="7"/>
        <v>#DIV/0!</v>
      </c>
    </row>
    <row r="257" spans="1:9" ht="15.75" hidden="1" outlineLevel="1">
      <c r="A257" s="37" t="s">
        <v>152</v>
      </c>
      <c r="B257" s="52" t="s">
        <v>39</v>
      </c>
      <c r="C257" s="52" t="s">
        <v>73</v>
      </c>
      <c r="D257" s="52" t="s">
        <v>199</v>
      </c>
      <c r="E257" s="54">
        <v>0</v>
      </c>
      <c r="F257" s="55">
        <v>300</v>
      </c>
      <c r="G257" s="88">
        <v>0</v>
      </c>
      <c r="H257" s="88">
        <v>0</v>
      </c>
      <c r="I257" s="88" t="e">
        <f t="shared" si="7"/>
        <v>#DIV/0!</v>
      </c>
    </row>
    <row r="258" spans="1:9" ht="39.75" customHeight="1" outlineLevel="1">
      <c r="A258" s="38" t="s">
        <v>310</v>
      </c>
      <c r="B258" s="52" t="s">
        <v>39</v>
      </c>
      <c r="C258" s="52" t="s">
        <v>73</v>
      </c>
      <c r="D258" s="52" t="s">
        <v>22</v>
      </c>
      <c r="E258" s="54">
        <v>0</v>
      </c>
      <c r="F258" s="53"/>
      <c r="G258" s="88">
        <f>SUM(G259:G261)</f>
        <v>1650</v>
      </c>
      <c r="H258" s="88">
        <f>SUM(H259:H261)</f>
        <v>1047.8304600000001</v>
      </c>
      <c r="I258" s="88">
        <f t="shared" si="7"/>
        <v>63.50487636363638</v>
      </c>
    </row>
    <row r="259" spans="1:9" ht="23.25" customHeight="1" outlineLevel="1">
      <c r="A259" s="37" t="s">
        <v>98</v>
      </c>
      <c r="B259" s="52" t="s">
        <v>39</v>
      </c>
      <c r="C259" s="52" t="s">
        <v>73</v>
      </c>
      <c r="D259" s="52" t="s">
        <v>22</v>
      </c>
      <c r="E259" s="54">
        <v>0</v>
      </c>
      <c r="F259" s="53">
        <v>100</v>
      </c>
      <c r="G259" s="88">
        <f>1600-0.00429</f>
        <v>1599.99571</v>
      </c>
      <c r="H259" s="88">
        <v>1047.82617</v>
      </c>
      <c r="I259" s="88">
        <f t="shared" si="7"/>
        <v>65.4893112182157</v>
      </c>
    </row>
    <row r="260" spans="1:9" ht="24" outlineLevel="1">
      <c r="A260" s="37" t="s">
        <v>99</v>
      </c>
      <c r="B260" s="52" t="s">
        <v>39</v>
      </c>
      <c r="C260" s="52" t="s">
        <v>73</v>
      </c>
      <c r="D260" s="52" t="s">
        <v>22</v>
      </c>
      <c r="E260" s="54">
        <v>0</v>
      </c>
      <c r="F260" s="53">
        <v>200</v>
      </c>
      <c r="G260" s="88">
        <v>50</v>
      </c>
      <c r="H260" s="88">
        <v>0</v>
      </c>
      <c r="I260" s="88">
        <f t="shared" si="7"/>
        <v>0</v>
      </c>
    </row>
    <row r="261" spans="1:9" ht="15.75" outlineLevel="1">
      <c r="A261" s="37" t="s">
        <v>139</v>
      </c>
      <c r="B261" s="52" t="s">
        <v>39</v>
      </c>
      <c r="C261" s="52" t="s">
        <v>73</v>
      </c>
      <c r="D261" s="52" t="s">
        <v>22</v>
      </c>
      <c r="E261" s="54">
        <v>0</v>
      </c>
      <c r="F261" s="53">
        <v>800</v>
      </c>
      <c r="G261" s="88">
        <f>0.2-0.2+0.00429</f>
        <v>0.00429</v>
      </c>
      <c r="H261" s="88">
        <f>0.2-0.2+0.00429</f>
        <v>0.00429</v>
      </c>
      <c r="I261" s="88">
        <f t="shared" si="7"/>
        <v>100</v>
      </c>
    </row>
    <row r="262" spans="1:9" ht="15.75" outlineLevel="1">
      <c r="A262" s="37" t="s">
        <v>74</v>
      </c>
      <c r="B262" s="52" t="s">
        <v>39</v>
      </c>
      <c r="C262" s="52" t="s">
        <v>113</v>
      </c>
      <c r="D262" s="52"/>
      <c r="E262" s="54"/>
      <c r="F262" s="53"/>
      <c r="G262" s="88">
        <f>SUM(G263+G280+G282)</f>
        <v>31513.15984</v>
      </c>
      <c r="H262" s="88">
        <f>SUM(H263+H280+H282)</f>
        <v>28886.93188</v>
      </c>
      <c r="I262" s="88">
        <f t="shared" si="7"/>
        <v>91.6662499941802</v>
      </c>
    </row>
    <row r="263" spans="1:9" ht="15" customHeight="1" outlineLevel="1">
      <c r="A263" s="37" t="s">
        <v>114</v>
      </c>
      <c r="B263" s="52" t="s">
        <v>39</v>
      </c>
      <c r="C263" s="52" t="s">
        <v>80</v>
      </c>
      <c r="D263" s="52"/>
      <c r="E263" s="54"/>
      <c r="F263" s="53"/>
      <c r="G263" s="88">
        <f>SUM(G264+G267+G269+G274+G276+G278+G271)</f>
        <v>31019.85984</v>
      </c>
      <c r="H263" s="88">
        <f>SUM(H264+H267+H269+H274+H276+H278+H271)</f>
        <v>28539.450820000002</v>
      </c>
      <c r="I263" s="88">
        <f t="shared" si="7"/>
        <v>92.00380326412204</v>
      </c>
    </row>
    <row r="264" spans="1:9" ht="24" outlineLevel="1">
      <c r="A264" s="37" t="s">
        <v>261</v>
      </c>
      <c r="B264" s="52" t="s">
        <v>39</v>
      </c>
      <c r="C264" s="52" t="s">
        <v>80</v>
      </c>
      <c r="D264" s="52" t="s">
        <v>12</v>
      </c>
      <c r="E264" s="54">
        <v>0</v>
      </c>
      <c r="F264" s="53"/>
      <c r="G264" s="88">
        <f>SUM(G265:G266)</f>
        <v>19163.15984</v>
      </c>
      <c r="H264" s="88">
        <f>SUM(H265:H266)</f>
        <v>19163.15984</v>
      </c>
      <c r="I264" s="88">
        <f t="shared" si="7"/>
        <v>100</v>
      </c>
    </row>
    <row r="265" spans="1:9" ht="36" outlineLevel="2">
      <c r="A265" s="37" t="s">
        <v>323</v>
      </c>
      <c r="B265" s="52" t="s">
        <v>39</v>
      </c>
      <c r="C265" s="52" t="s">
        <v>80</v>
      </c>
      <c r="D265" s="52" t="s">
        <v>12</v>
      </c>
      <c r="E265" s="54">
        <v>0</v>
      </c>
      <c r="F265" s="53">
        <v>200</v>
      </c>
      <c r="G265" s="88">
        <f>22491.633-3750.80825</f>
        <v>18740.82475</v>
      </c>
      <c r="H265" s="88">
        <f>22491.633-3750.80825</f>
        <v>18740.82475</v>
      </c>
      <c r="I265" s="88">
        <f t="shared" si="7"/>
        <v>100</v>
      </c>
    </row>
    <row r="266" spans="1:9" ht="24" outlineLevel="5">
      <c r="A266" s="37" t="s">
        <v>324</v>
      </c>
      <c r="B266" s="52" t="s">
        <v>39</v>
      </c>
      <c r="C266" s="52" t="s">
        <v>80</v>
      </c>
      <c r="D266" s="52" t="s">
        <v>12</v>
      </c>
      <c r="E266" s="54">
        <v>0</v>
      </c>
      <c r="F266" s="53">
        <v>200</v>
      </c>
      <c r="G266" s="88">
        <f>50.807+380-8.47191</f>
        <v>422.33509000000004</v>
      </c>
      <c r="H266" s="88">
        <f>50.807+380-8.47191</f>
        <v>422.33509000000004</v>
      </c>
      <c r="I266" s="88">
        <f t="shared" si="7"/>
        <v>100</v>
      </c>
    </row>
    <row r="267" spans="1:9" ht="25.5" customHeight="1" outlineLevel="1">
      <c r="A267" s="37" t="s">
        <v>245</v>
      </c>
      <c r="B267" s="52" t="s">
        <v>39</v>
      </c>
      <c r="C267" s="52" t="s">
        <v>80</v>
      </c>
      <c r="D267" s="52" t="s">
        <v>5</v>
      </c>
      <c r="E267" s="54">
        <v>0</v>
      </c>
      <c r="F267" s="55"/>
      <c r="G267" s="88">
        <f>SUM(G268)</f>
        <v>20</v>
      </c>
      <c r="H267" s="88">
        <f>SUM(H268)</f>
        <v>0</v>
      </c>
      <c r="I267" s="88">
        <f aca="true" t="shared" si="8" ref="I267:I330">SUM(H267/G267)*100</f>
        <v>0</v>
      </c>
    </row>
    <row r="268" spans="1:9" ht="24" outlineLevel="2">
      <c r="A268" s="37" t="s">
        <v>151</v>
      </c>
      <c r="B268" s="52" t="s">
        <v>39</v>
      </c>
      <c r="C268" s="52" t="s">
        <v>80</v>
      </c>
      <c r="D268" s="52" t="s">
        <v>5</v>
      </c>
      <c r="E268" s="54">
        <v>0</v>
      </c>
      <c r="F268" s="55">
        <v>600</v>
      </c>
      <c r="G268" s="88">
        <v>20</v>
      </c>
      <c r="H268" s="88">
        <v>0</v>
      </c>
      <c r="I268" s="88">
        <f t="shared" si="8"/>
        <v>0</v>
      </c>
    </row>
    <row r="269" spans="1:9" ht="24.75" customHeight="1" outlineLevel="5">
      <c r="A269" s="38" t="s">
        <v>237</v>
      </c>
      <c r="B269" s="52" t="s">
        <v>39</v>
      </c>
      <c r="C269" s="52" t="s">
        <v>80</v>
      </c>
      <c r="D269" s="52" t="s">
        <v>4</v>
      </c>
      <c r="E269" s="54">
        <v>0</v>
      </c>
      <c r="F269" s="55"/>
      <c r="G269" s="88">
        <f>SUM(G270)</f>
        <v>20</v>
      </c>
      <c r="H269" s="88">
        <f>SUM(H270)</f>
        <v>0</v>
      </c>
      <c r="I269" s="88">
        <f t="shared" si="8"/>
        <v>0</v>
      </c>
    </row>
    <row r="270" spans="1:9" ht="22.5" customHeight="1" outlineLevel="3">
      <c r="A270" s="37" t="s">
        <v>151</v>
      </c>
      <c r="B270" s="52" t="s">
        <v>39</v>
      </c>
      <c r="C270" s="52" t="s">
        <v>80</v>
      </c>
      <c r="D270" s="52" t="s">
        <v>4</v>
      </c>
      <c r="E270" s="54">
        <v>0</v>
      </c>
      <c r="F270" s="55">
        <v>600</v>
      </c>
      <c r="G270" s="88">
        <v>20</v>
      </c>
      <c r="H270" s="88">
        <v>0</v>
      </c>
      <c r="I270" s="88">
        <f t="shared" si="8"/>
        <v>0</v>
      </c>
    </row>
    <row r="271" spans="1:9" ht="24" outlineLevel="3">
      <c r="A271" s="37" t="s">
        <v>150</v>
      </c>
      <c r="B271" s="52" t="s">
        <v>39</v>
      </c>
      <c r="C271" s="52" t="s">
        <v>80</v>
      </c>
      <c r="D271" s="52" t="s">
        <v>16</v>
      </c>
      <c r="E271" s="54">
        <v>0</v>
      </c>
      <c r="F271" s="53"/>
      <c r="G271" s="88">
        <f>SUM(G272)</f>
        <v>10</v>
      </c>
      <c r="H271" s="88">
        <f>SUM(H272)</f>
        <v>10</v>
      </c>
      <c r="I271" s="88">
        <f t="shared" si="8"/>
        <v>100</v>
      </c>
    </row>
    <row r="272" spans="1:9" ht="24" outlineLevel="3">
      <c r="A272" s="37" t="s">
        <v>99</v>
      </c>
      <c r="B272" s="52" t="s">
        <v>39</v>
      </c>
      <c r="C272" s="52" t="s">
        <v>80</v>
      </c>
      <c r="D272" s="52" t="s">
        <v>16</v>
      </c>
      <c r="E272" s="54">
        <v>0</v>
      </c>
      <c r="F272" s="53">
        <v>200</v>
      </c>
      <c r="G272" s="88">
        <v>10</v>
      </c>
      <c r="H272" s="88">
        <v>10</v>
      </c>
      <c r="I272" s="88">
        <f t="shared" si="8"/>
        <v>100</v>
      </c>
    </row>
    <row r="273" spans="1:9" ht="27.75" customHeight="1" outlineLevel="3">
      <c r="A273" s="38" t="s">
        <v>311</v>
      </c>
      <c r="B273" s="52" t="s">
        <v>39</v>
      </c>
      <c r="C273" s="52" t="s">
        <v>113</v>
      </c>
      <c r="D273" s="52" t="s">
        <v>23</v>
      </c>
      <c r="E273" s="54">
        <v>0</v>
      </c>
      <c r="F273" s="53"/>
      <c r="G273" s="88">
        <f>SUM(G274+G276+G278+G280+G283)</f>
        <v>12300</v>
      </c>
      <c r="H273" s="88">
        <f>SUM(H274+H276+H278+H280+H283)</f>
        <v>9713.77204</v>
      </c>
      <c r="I273" s="88">
        <f t="shared" si="8"/>
        <v>78.97375642276423</v>
      </c>
    </row>
    <row r="274" spans="1:9" ht="15.75" outlineLevel="3">
      <c r="A274" s="38" t="s">
        <v>75</v>
      </c>
      <c r="B274" s="52" t="s">
        <v>39</v>
      </c>
      <c r="C274" s="52" t="s">
        <v>80</v>
      </c>
      <c r="D274" s="52" t="s">
        <v>23</v>
      </c>
      <c r="E274" s="54">
        <v>0</v>
      </c>
      <c r="F274" s="53"/>
      <c r="G274" s="88">
        <f>SUM(G275:G275)</f>
        <v>8656.7</v>
      </c>
      <c r="H274" s="88">
        <f>SUM(H275:H275)</f>
        <v>7362.52966</v>
      </c>
      <c r="I274" s="88">
        <f t="shared" si="8"/>
        <v>85.05007289151754</v>
      </c>
    </row>
    <row r="275" spans="1:9" ht="27" customHeight="1" outlineLevel="3">
      <c r="A275" s="37" t="s">
        <v>151</v>
      </c>
      <c r="B275" s="52" t="s">
        <v>39</v>
      </c>
      <c r="C275" s="52" t="s">
        <v>80</v>
      </c>
      <c r="D275" s="52" t="s">
        <v>23</v>
      </c>
      <c r="E275" s="54">
        <v>0</v>
      </c>
      <c r="F275" s="53">
        <v>600</v>
      </c>
      <c r="G275" s="88">
        <f>8450+206.7</f>
        <v>8656.7</v>
      </c>
      <c r="H275" s="88">
        <v>7362.52966</v>
      </c>
      <c r="I275" s="88">
        <f t="shared" si="8"/>
        <v>85.05007289151754</v>
      </c>
    </row>
    <row r="276" spans="1:9" ht="16.5" customHeight="1" outlineLevel="5">
      <c r="A276" s="38" t="s">
        <v>76</v>
      </c>
      <c r="B276" s="52" t="s">
        <v>39</v>
      </c>
      <c r="C276" s="52" t="s">
        <v>80</v>
      </c>
      <c r="D276" s="52" t="s">
        <v>23</v>
      </c>
      <c r="E276" s="54">
        <v>0</v>
      </c>
      <c r="F276" s="55"/>
      <c r="G276" s="88">
        <f>SUM(G277)</f>
        <v>1693</v>
      </c>
      <c r="H276" s="88">
        <f>SUM(H277)</f>
        <v>1109.96983</v>
      </c>
      <c r="I276" s="88">
        <f t="shared" si="8"/>
        <v>65.56230537507383</v>
      </c>
    </row>
    <row r="277" spans="1:9" ht="27" customHeight="1" outlineLevel="5">
      <c r="A277" s="37" t="s">
        <v>151</v>
      </c>
      <c r="B277" s="52" t="s">
        <v>39</v>
      </c>
      <c r="C277" s="52" t="s">
        <v>80</v>
      </c>
      <c r="D277" s="52" t="s">
        <v>23</v>
      </c>
      <c r="E277" s="54">
        <v>0</v>
      </c>
      <c r="F277" s="55">
        <v>600</v>
      </c>
      <c r="G277" s="88">
        <f>862+731+100</f>
        <v>1693</v>
      </c>
      <c r="H277" s="88">
        <v>1109.96983</v>
      </c>
      <c r="I277" s="88">
        <f t="shared" si="8"/>
        <v>65.56230537507383</v>
      </c>
    </row>
    <row r="278" spans="1:9" ht="15.75" outlineLevel="5">
      <c r="A278" s="38" t="s">
        <v>77</v>
      </c>
      <c r="B278" s="52" t="s">
        <v>39</v>
      </c>
      <c r="C278" s="52" t="s">
        <v>80</v>
      </c>
      <c r="D278" s="52" t="s">
        <v>23</v>
      </c>
      <c r="E278" s="54">
        <v>0</v>
      </c>
      <c r="F278" s="55"/>
      <c r="G278" s="88">
        <f>SUM(G279:G279)</f>
        <v>1457</v>
      </c>
      <c r="H278" s="88">
        <f>SUM(H279:H279)</f>
        <v>893.79149</v>
      </c>
      <c r="I278" s="88">
        <f t="shared" si="8"/>
        <v>61.344645847632115</v>
      </c>
    </row>
    <row r="279" spans="1:9" ht="24" outlineLevel="5">
      <c r="A279" s="37" t="s">
        <v>151</v>
      </c>
      <c r="B279" s="52" t="s">
        <v>39</v>
      </c>
      <c r="C279" s="52" t="s">
        <v>80</v>
      </c>
      <c r="D279" s="52" t="s">
        <v>23</v>
      </c>
      <c r="E279" s="54">
        <v>0</v>
      </c>
      <c r="F279" s="55">
        <v>600</v>
      </c>
      <c r="G279" s="88">
        <f>1069+288+100</f>
        <v>1457</v>
      </c>
      <c r="H279" s="88">
        <v>893.79149</v>
      </c>
      <c r="I279" s="88">
        <f t="shared" si="8"/>
        <v>61.344645847632115</v>
      </c>
    </row>
    <row r="280" spans="1:9" ht="15.75" outlineLevel="5">
      <c r="A280" s="38" t="s">
        <v>78</v>
      </c>
      <c r="B280" s="52" t="s">
        <v>39</v>
      </c>
      <c r="C280" s="52" t="s">
        <v>81</v>
      </c>
      <c r="D280" s="52" t="s">
        <v>23</v>
      </c>
      <c r="E280" s="54">
        <v>0</v>
      </c>
      <c r="F280" s="55"/>
      <c r="G280" s="88">
        <f>SUM(G281)</f>
        <v>493.3</v>
      </c>
      <c r="H280" s="88">
        <f>SUM(H281)</f>
        <v>347.48106</v>
      </c>
      <c r="I280" s="88">
        <f t="shared" si="8"/>
        <v>70.44010946685587</v>
      </c>
    </row>
    <row r="281" spans="1:9" ht="24" outlineLevel="5">
      <c r="A281" s="37" t="s">
        <v>151</v>
      </c>
      <c r="B281" s="52" t="s">
        <v>39</v>
      </c>
      <c r="C281" s="52" t="s">
        <v>81</v>
      </c>
      <c r="D281" s="52" t="s">
        <v>23</v>
      </c>
      <c r="E281" s="54">
        <v>0</v>
      </c>
      <c r="F281" s="55">
        <v>600</v>
      </c>
      <c r="G281" s="88">
        <v>493.3</v>
      </c>
      <c r="H281" s="88">
        <v>347.48106</v>
      </c>
      <c r="I281" s="88">
        <f t="shared" si="8"/>
        <v>70.44010946685587</v>
      </c>
    </row>
    <row r="282" spans="1:9" ht="15.75" hidden="1" outlineLevel="5">
      <c r="A282" s="38" t="s">
        <v>79</v>
      </c>
      <c r="B282" s="52" t="s">
        <v>39</v>
      </c>
      <c r="C282" s="52" t="s">
        <v>82</v>
      </c>
      <c r="D282" s="52" t="s">
        <v>23</v>
      </c>
      <c r="E282" s="54">
        <v>0</v>
      </c>
      <c r="F282" s="55"/>
      <c r="G282" s="88">
        <f>SUM(G283+G284)</f>
        <v>0</v>
      </c>
      <c r="H282" s="88">
        <f>SUM(H283+H284)</f>
        <v>0</v>
      </c>
      <c r="I282" s="88" t="e">
        <f t="shared" si="8"/>
        <v>#DIV/0!</v>
      </c>
    </row>
    <row r="283" spans="1:9" ht="24" hidden="1" outlineLevel="5">
      <c r="A283" s="37" t="s">
        <v>151</v>
      </c>
      <c r="B283" s="52" t="s">
        <v>39</v>
      </c>
      <c r="C283" s="52" t="s">
        <v>82</v>
      </c>
      <c r="D283" s="52" t="s">
        <v>23</v>
      </c>
      <c r="E283" s="54">
        <v>0</v>
      </c>
      <c r="F283" s="55">
        <v>600</v>
      </c>
      <c r="G283" s="88">
        <v>0</v>
      </c>
      <c r="H283" s="88">
        <v>0</v>
      </c>
      <c r="I283" s="88" t="e">
        <f t="shared" si="8"/>
        <v>#DIV/0!</v>
      </c>
    </row>
    <row r="284" spans="1:9" ht="36" hidden="1" outlineLevel="5">
      <c r="A284" s="37" t="s">
        <v>300</v>
      </c>
      <c r="B284" s="52" t="s">
        <v>39</v>
      </c>
      <c r="C284" s="52" t="s">
        <v>82</v>
      </c>
      <c r="D284" s="52" t="s">
        <v>296</v>
      </c>
      <c r="E284" s="54">
        <v>0</v>
      </c>
      <c r="F284" s="55"/>
      <c r="G284" s="88">
        <f>SUM(G285)</f>
        <v>0</v>
      </c>
      <c r="H284" s="88">
        <f>SUM(H285)</f>
        <v>0</v>
      </c>
      <c r="I284" s="88" t="e">
        <f t="shared" si="8"/>
        <v>#DIV/0!</v>
      </c>
    </row>
    <row r="285" spans="1:9" ht="36" hidden="1" outlineLevel="5">
      <c r="A285" s="37" t="s">
        <v>302</v>
      </c>
      <c r="B285" s="52" t="s">
        <v>39</v>
      </c>
      <c r="C285" s="52" t="s">
        <v>82</v>
      </c>
      <c r="D285" s="52" t="s">
        <v>296</v>
      </c>
      <c r="E285" s="54">
        <v>0</v>
      </c>
      <c r="F285" s="55">
        <v>500</v>
      </c>
      <c r="G285" s="88">
        <v>0</v>
      </c>
      <c r="H285" s="88">
        <v>0</v>
      </c>
      <c r="I285" s="88" t="e">
        <f t="shared" si="8"/>
        <v>#DIV/0!</v>
      </c>
    </row>
    <row r="286" spans="1:9" ht="15.75" hidden="1" outlineLevel="5">
      <c r="A286" s="37" t="s">
        <v>205</v>
      </c>
      <c r="B286" s="52" t="s">
        <v>39</v>
      </c>
      <c r="C286" s="52" t="s">
        <v>206</v>
      </c>
      <c r="D286" s="52"/>
      <c r="E286" s="54"/>
      <c r="F286" s="55"/>
      <c r="G286" s="88">
        <f>SUM(G287)</f>
        <v>0</v>
      </c>
      <c r="H286" s="88">
        <f>SUM(H287)</f>
        <v>0</v>
      </c>
      <c r="I286" s="88" t="e">
        <f t="shared" si="8"/>
        <v>#DIV/0!</v>
      </c>
    </row>
    <row r="287" spans="1:9" ht="15.75" hidden="1" outlineLevel="5">
      <c r="A287" s="37" t="s">
        <v>207</v>
      </c>
      <c r="B287" s="52" t="s">
        <v>39</v>
      </c>
      <c r="C287" s="52" t="s">
        <v>208</v>
      </c>
      <c r="D287" s="52"/>
      <c r="E287" s="54"/>
      <c r="F287" s="55"/>
      <c r="G287" s="88">
        <f>SUM(G290)</f>
        <v>0</v>
      </c>
      <c r="H287" s="88">
        <f>SUM(H290)</f>
        <v>0</v>
      </c>
      <c r="I287" s="88" t="e">
        <f t="shared" si="8"/>
        <v>#DIV/0!</v>
      </c>
    </row>
    <row r="288" spans="1:9" ht="36" hidden="1" outlineLevel="5">
      <c r="A288" s="37" t="s">
        <v>244</v>
      </c>
      <c r="B288" s="52" t="s">
        <v>39</v>
      </c>
      <c r="C288" s="52" t="s">
        <v>208</v>
      </c>
      <c r="D288" s="52" t="s">
        <v>6</v>
      </c>
      <c r="E288" s="54">
        <v>0</v>
      </c>
      <c r="F288" s="55"/>
      <c r="G288" s="88">
        <f>SUM(G289)</f>
        <v>0</v>
      </c>
      <c r="H288" s="88">
        <f>SUM(H289)</f>
        <v>0</v>
      </c>
      <c r="I288" s="88" t="e">
        <f t="shared" si="8"/>
        <v>#DIV/0!</v>
      </c>
    </row>
    <row r="289" spans="1:9" ht="36" hidden="1" outlineLevel="5">
      <c r="A289" s="37" t="s">
        <v>196</v>
      </c>
      <c r="B289" s="52" t="s">
        <v>39</v>
      </c>
      <c r="C289" s="52" t="s">
        <v>208</v>
      </c>
      <c r="D289" s="52" t="s">
        <v>6</v>
      </c>
      <c r="E289" s="54">
        <v>3</v>
      </c>
      <c r="F289" s="53"/>
      <c r="G289" s="88">
        <f>SUM(G290:G290)</f>
        <v>0</v>
      </c>
      <c r="H289" s="88">
        <f>SUM(H290:H290)</f>
        <v>0</v>
      </c>
      <c r="I289" s="88" t="e">
        <f t="shared" si="8"/>
        <v>#DIV/0!</v>
      </c>
    </row>
    <row r="290" spans="1:9" ht="24" hidden="1" outlineLevel="5">
      <c r="A290" s="37" t="s">
        <v>154</v>
      </c>
      <c r="B290" s="52" t="s">
        <v>39</v>
      </c>
      <c r="C290" s="52" t="s">
        <v>208</v>
      </c>
      <c r="D290" s="52" t="s">
        <v>6</v>
      </c>
      <c r="E290" s="54">
        <v>3</v>
      </c>
      <c r="F290" s="53">
        <v>400</v>
      </c>
      <c r="G290" s="88">
        <v>0</v>
      </c>
      <c r="H290" s="88">
        <v>0</v>
      </c>
      <c r="I290" s="88" t="e">
        <f t="shared" si="8"/>
        <v>#DIV/0!</v>
      </c>
    </row>
    <row r="291" spans="1:9" ht="21" customHeight="1" outlineLevel="5">
      <c r="A291" s="37" t="s">
        <v>83</v>
      </c>
      <c r="B291" s="52" t="s">
        <v>39</v>
      </c>
      <c r="C291" s="52" t="s">
        <v>161</v>
      </c>
      <c r="D291" s="52"/>
      <c r="E291" s="54"/>
      <c r="F291" s="53"/>
      <c r="G291" s="88">
        <f>SUM(G292+G295+G308+G320)</f>
        <v>27129.86401</v>
      </c>
      <c r="H291" s="88">
        <f>SUM(H292+H295+H308+H320)</f>
        <v>18054.51814</v>
      </c>
      <c r="I291" s="88">
        <f t="shared" si="8"/>
        <v>66.54850217216404</v>
      </c>
    </row>
    <row r="292" spans="1:9" ht="26.25" customHeight="1" outlineLevel="5">
      <c r="A292" s="37" t="s">
        <v>85</v>
      </c>
      <c r="B292" s="52" t="s">
        <v>39</v>
      </c>
      <c r="C292" s="52" t="s">
        <v>86</v>
      </c>
      <c r="D292" s="52"/>
      <c r="E292" s="54"/>
      <c r="F292" s="53"/>
      <c r="G292" s="88">
        <f>SUM(G293)</f>
        <v>4000</v>
      </c>
      <c r="H292" s="88">
        <f>SUM(H293)</f>
        <v>3060.89777</v>
      </c>
      <c r="I292" s="88">
        <f t="shared" si="8"/>
        <v>76.52244424999999</v>
      </c>
    </row>
    <row r="293" spans="1:9" ht="24" customHeight="1" outlineLevel="5">
      <c r="A293" s="37" t="s">
        <v>150</v>
      </c>
      <c r="B293" s="52" t="s">
        <v>39</v>
      </c>
      <c r="C293" s="52" t="s">
        <v>86</v>
      </c>
      <c r="D293" s="52" t="s">
        <v>16</v>
      </c>
      <c r="E293" s="54">
        <v>0</v>
      </c>
      <c r="F293" s="53"/>
      <c r="G293" s="88">
        <f>SUM(G294)</f>
        <v>4000</v>
      </c>
      <c r="H293" s="88">
        <f>SUM(H294)</f>
        <v>3060.89777</v>
      </c>
      <c r="I293" s="88">
        <f t="shared" si="8"/>
        <v>76.52244424999999</v>
      </c>
    </row>
    <row r="294" spans="1:9" ht="15.75" outlineLevel="5">
      <c r="A294" s="37" t="s">
        <v>152</v>
      </c>
      <c r="B294" s="52" t="s">
        <v>39</v>
      </c>
      <c r="C294" s="52" t="s">
        <v>86</v>
      </c>
      <c r="D294" s="52" t="s">
        <v>16</v>
      </c>
      <c r="E294" s="54">
        <v>0</v>
      </c>
      <c r="F294" s="53">
        <v>300</v>
      </c>
      <c r="G294" s="88">
        <v>4000</v>
      </c>
      <c r="H294" s="88">
        <v>3060.89777</v>
      </c>
      <c r="I294" s="88">
        <f t="shared" si="8"/>
        <v>76.52244424999999</v>
      </c>
    </row>
    <row r="295" spans="1:9" ht="18.75" customHeight="1" outlineLevel="5">
      <c r="A295" s="37" t="s">
        <v>87</v>
      </c>
      <c r="B295" s="52" t="s">
        <v>39</v>
      </c>
      <c r="C295" s="52" t="s">
        <v>89</v>
      </c>
      <c r="D295" s="52"/>
      <c r="E295" s="54"/>
      <c r="F295" s="53"/>
      <c r="G295" s="88">
        <f>SUM(G296+G298)</f>
        <v>14192.322</v>
      </c>
      <c r="H295" s="88">
        <f>SUM(H296+H298)</f>
        <v>9078.325499999999</v>
      </c>
      <c r="I295" s="88">
        <f t="shared" si="8"/>
        <v>63.96645665170223</v>
      </c>
    </row>
    <row r="296" spans="1:9" ht="58.5" customHeight="1" outlineLevel="5">
      <c r="A296" s="37" t="s">
        <v>246</v>
      </c>
      <c r="B296" s="52" t="s">
        <v>39</v>
      </c>
      <c r="C296" s="52" t="s">
        <v>89</v>
      </c>
      <c r="D296" s="52" t="s">
        <v>7</v>
      </c>
      <c r="E296" s="54">
        <v>0</v>
      </c>
      <c r="F296" s="53"/>
      <c r="G296" s="88">
        <f>SUM(G297)</f>
        <v>800</v>
      </c>
      <c r="H296" s="88">
        <f>SUM(H297)</f>
        <v>352.407</v>
      </c>
      <c r="I296" s="88">
        <f t="shared" si="8"/>
        <v>44.050875</v>
      </c>
    </row>
    <row r="297" spans="1:9" ht="16.5" customHeight="1" outlineLevel="5">
      <c r="A297" s="37" t="s">
        <v>152</v>
      </c>
      <c r="B297" s="52" t="s">
        <v>39</v>
      </c>
      <c r="C297" s="52" t="s">
        <v>89</v>
      </c>
      <c r="D297" s="52" t="s">
        <v>7</v>
      </c>
      <c r="E297" s="54">
        <v>0</v>
      </c>
      <c r="F297" s="53">
        <v>300</v>
      </c>
      <c r="G297" s="88">
        <v>800</v>
      </c>
      <c r="H297" s="88">
        <v>352.407</v>
      </c>
      <c r="I297" s="88">
        <f t="shared" si="8"/>
        <v>44.050875</v>
      </c>
    </row>
    <row r="298" spans="1:9" ht="22.5" customHeight="1">
      <c r="A298" s="37" t="s">
        <v>150</v>
      </c>
      <c r="B298" s="52" t="s">
        <v>39</v>
      </c>
      <c r="C298" s="52" t="s">
        <v>89</v>
      </c>
      <c r="D298" s="52" t="s">
        <v>16</v>
      </c>
      <c r="E298" s="54">
        <v>0</v>
      </c>
      <c r="F298" s="53"/>
      <c r="G298" s="88">
        <f>SUM(G302+G305+G306+G307+G299)</f>
        <v>13392.322</v>
      </c>
      <c r="H298" s="88">
        <f>SUM(H302+H305+H306+H307+H299)</f>
        <v>8725.9185</v>
      </c>
      <c r="I298" s="88">
        <f t="shared" si="8"/>
        <v>65.15612826513579</v>
      </c>
    </row>
    <row r="299" spans="1:9" ht="24.75" customHeight="1" hidden="1">
      <c r="A299" s="37" t="s">
        <v>319</v>
      </c>
      <c r="B299" s="52" t="s">
        <v>39</v>
      </c>
      <c r="C299" s="52" t="s">
        <v>89</v>
      </c>
      <c r="D299" s="52" t="s">
        <v>16</v>
      </c>
      <c r="E299" s="54">
        <v>0</v>
      </c>
      <c r="F299" s="53"/>
      <c r="G299" s="88">
        <f>SUM(G300:G301)</f>
        <v>0</v>
      </c>
      <c r="H299" s="88">
        <f>SUM(H300:H301)</f>
        <v>0</v>
      </c>
      <c r="I299" s="88" t="e">
        <f t="shared" si="8"/>
        <v>#DIV/0!</v>
      </c>
    </row>
    <row r="300" spans="1:9" ht="15.75" customHeight="1" hidden="1">
      <c r="A300" s="37" t="s">
        <v>152</v>
      </c>
      <c r="B300" s="52" t="s">
        <v>39</v>
      </c>
      <c r="C300" s="52" t="s">
        <v>89</v>
      </c>
      <c r="D300" s="52" t="s">
        <v>16</v>
      </c>
      <c r="E300" s="54">
        <v>0</v>
      </c>
      <c r="F300" s="53">
        <v>300</v>
      </c>
      <c r="G300" s="88">
        <v>0</v>
      </c>
      <c r="H300" s="88">
        <v>0</v>
      </c>
      <c r="I300" s="88" t="e">
        <f t="shared" si="8"/>
        <v>#DIV/0!</v>
      </c>
    </row>
    <row r="301" spans="1:9" ht="24.75" customHeight="1" hidden="1">
      <c r="A301" s="37" t="s">
        <v>99</v>
      </c>
      <c r="B301" s="52" t="s">
        <v>39</v>
      </c>
      <c r="C301" s="52" t="s">
        <v>89</v>
      </c>
      <c r="D301" s="52" t="s">
        <v>16</v>
      </c>
      <c r="E301" s="54">
        <v>0</v>
      </c>
      <c r="F301" s="53">
        <v>200</v>
      </c>
      <c r="G301" s="88">
        <v>0</v>
      </c>
      <c r="H301" s="88">
        <v>0</v>
      </c>
      <c r="I301" s="88" t="e">
        <f t="shared" si="8"/>
        <v>#DIV/0!</v>
      </c>
    </row>
    <row r="302" spans="1:9" ht="84">
      <c r="A302" s="37" t="s">
        <v>103</v>
      </c>
      <c r="B302" s="52" t="s">
        <v>39</v>
      </c>
      <c r="C302" s="52" t="s">
        <v>89</v>
      </c>
      <c r="D302" s="52" t="s">
        <v>16</v>
      </c>
      <c r="E302" s="54">
        <v>0</v>
      </c>
      <c r="F302" s="53"/>
      <c r="G302" s="88">
        <f>SUM(G303:G304)</f>
        <v>8876.022</v>
      </c>
      <c r="H302" s="88">
        <f>SUM(H303:H304)</f>
        <v>6598.747359999999</v>
      </c>
      <c r="I302" s="88">
        <f t="shared" si="8"/>
        <v>74.34352190654776</v>
      </c>
    </row>
    <row r="303" spans="1:9" ht="15.75">
      <c r="A303" s="37" t="s">
        <v>152</v>
      </c>
      <c r="B303" s="52" t="s">
        <v>39</v>
      </c>
      <c r="C303" s="52" t="s">
        <v>89</v>
      </c>
      <c r="D303" s="52" t="s">
        <v>16</v>
      </c>
      <c r="E303" s="54">
        <v>0</v>
      </c>
      <c r="F303" s="53">
        <v>300</v>
      </c>
      <c r="G303" s="88">
        <f>9924.643+125.8739-1275+12.6237</f>
        <v>8788.1406</v>
      </c>
      <c r="H303" s="88">
        <v>6533.70127</v>
      </c>
      <c r="I303" s="88">
        <f t="shared" si="8"/>
        <v>74.3467994811098</v>
      </c>
    </row>
    <row r="304" spans="1:9" ht="26.25" customHeight="1">
      <c r="A304" s="37" t="s">
        <v>99</v>
      </c>
      <c r="B304" s="52" t="s">
        <v>39</v>
      </c>
      <c r="C304" s="52" t="s">
        <v>89</v>
      </c>
      <c r="D304" s="52" t="s">
        <v>16</v>
      </c>
      <c r="E304" s="54">
        <v>0</v>
      </c>
      <c r="F304" s="53">
        <v>200</v>
      </c>
      <c r="G304" s="88">
        <f>99.257+1.2481-12.6237</f>
        <v>87.8814</v>
      </c>
      <c r="H304" s="88">
        <v>65.04609</v>
      </c>
      <c r="I304" s="88">
        <f t="shared" si="8"/>
        <v>74.0157644279677</v>
      </c>
    </row>
    <row r="305" spans="1:9" ht="67.5" customHeight="1">
      <c r="A305" s="37" t="s">
        <v>104</v>
      </c>
      <c r="B305" s="52" t="s">
        <v>39</v>
      </c>
      <c r="C305" s="52" t="s">
        <v>89</v>
      </c>
      <c r="D305" s="52" t="s">
        <v>16</v>
      </c>
      <c r="E305" s="54">
        <v>0</v>
      </c>
      <c r="F305" s="53">
        <v>300</v>
      </c>
      <c r="G305" s="88">
        <v>973.5</v>
      </c>
      <c r="H305" s="88">
        <v>408.33595</v>
      </c>
      <c r="I305" s="88">
        <f t="shared" si="8"/>
        <v>41.94514124293786</v>
      </c>
    </row>
    <row r="306" spans="1:9" ht="63.75" customHeight="1">
      <c r="A306" s="37" t="s">
        <v>105</v>
      </c>
      <c r="B306" s="52" t="s">
        <v>39</v>
      </c>
      <c r="C306" s="52" t="s">
        <v>89</v>
      </c>
      <c r="D306" s="52" t="s">
        <v>16</v>
      </c>
      <c r="E306" s="54">
        <v>0</v>
      </c>
      <c r="F306" s="53">
        <v>300</v>
      </c>
      <c r="G306" s="88">
        <v>58</v>
      </c>
      <c r="H306" s="88">
        <v>13.31632</v>
      </c>
      <c r="I306" s="88">
        <f t="shared" si="8"/>
        <v>22.9591724137931</v>
      </c>
    </row>
    <row r="307" spans="1:9" ht="60.75" customHeight="1">
      <c r="A307" s="37" t="s">
        <v>106</v>
      </c>
      <c r="B307" s="52" t="s">
        <v>39</v>
      </c>
      <c r="C307" s="52" t="s">
        <v>89</v>
      </c>
      <c r="D307" s="52" t="s">
        <v>16</v>
      </c>
      <c r="E307" s="54">
        <v>0</v>
      </c>
      <c r="F307" s="53">
        <v>300</v>
      </c>
      <c r="G307" s="88">
        <v>3484.8</v>
      </c>
      <c r="H307" s="88">
        <v>1705.51887</v>
      </c>
      <c r="I307" s="88">
        <f t="shared" si="8"/>
        <v>48.94165719696969</v>
      </c>
    </row>
    <row r="308" spans="1:9" ht="18.75" customHeight="1">
      <c r="A308" s="37" t="s">
        <v>88</v>
      </c>
      <c r="B308" s="52" t="s">
        <v>39</v>
      </c>
      <c r="C308" s="52" t="s">
        <v>90</v>
      </c>
      <c r="D308" s="52"/>
      <c r="E308" s="54"/>
      <c r="F308" s="53"/>
      <c r="G308" s="88">
        <f>SUM(G311+G309)</f>
        <v>7964.66401</v>
      </c>
      <c r="H308" s="88">
        <f>SUM(H311+H309)</f>
        <v>5178.8454</v>
      </c>
      <c r="I308" s="88">
        <f t="shared" si="8"/>
        <v>65.02277300709387</v>
      </c>
    </row>
    <row r="309" spans="1:9" ht="0.75" customHeight="1" hidden="1">
      <c r="A309" s="37" t="s">
        <v>242</v>
      </c>
      <c r="B309" s="52" t="s">
        <v>39</v>
      </c>
      <c r="C309" s="52" t="s">
        <v>90</v>
      </c>
      <c r="D309" s="52" t="s">
        <v>243</v>
      </c>
      <c r="E309" s="54">
        <v>0</v>
      </c>
      <c r="F309" s="53"/>
      <c r="G309" s="88">
        <f>SUM(G310)</f>
        <v>0</v>
      </c>
      <c r="H309" s="88">
        <f>SUM(H310)</f>
        <v>0</v>
      </c>
      <c r="I309" s="88" t="e">
        <f t="shared" si="8"/>
        <v>#DIV/0!</v>
      </c>
    </row>
    <row r="310" spans="1:9" ht="15.75" hidden="1">
      <c r="A310" s="37" t="s">
        <v>152</v>
      </c>
      <c r="B310" s="52" t="s">
        <v>39</v>
      </c>
      <c r="C310" s="52" t="s">
        <v>90</v>
      </c>
      <c r="D310" s="52" t="s">
        <v>243</v>
      </c>
      <c r="E310" s="54">
        <v>0</v>
      </c>
      <c r="F310" s="53">
        <v>300</v>
      </c>
      <c r="G310" s="88">
        <v>0</v>
      </c>
      <c r="H310" s="88">
        <v>0</v>
      </c>
      <c r="I310" s="88" t="e">
        <f t="shared" si="8"/>
        <v>#DIV/0!</v>
      </c>
    </row>
    <row r="311" spans="1:9" ht="27.75" customHeight="1">
      <c r="A311" s="37" t="s">
        <v>150</v>
      </c>
      <c r="B311" s="52" t="s">
        <v>39</v>
      </c>
      <c r="C311" s="52" t="s">
        <v>90</v>
      </c>
      <c r="D311" s="52" t="s">
        <v>16</v>
      </c>
      <c r="E311" s="54">
        <v>0</v>
      </c>
      <c r="F311" s="53"/>
      <c r="G311" s="88">
        <f>SUM(G312+G315+G318)</f>
        <v>7964.66401</v>
      </c>
      <c r="H311" s="88">
        <f>SUM(H312+H315+H318)</f>
        <v>5178.8454</v>
      </c>
      <c r="I311" s="88">
        <f t="shared" si="8"/>
        <v>65.02277300709387</v>
      </c>
    </row>
    <row r="312" spans="1:9" ht="48.75" customHeight="1">
      <c r="A312" s="37" t="s">
        <v>107</v>
      </c>
      <c r="B312" s="52" t="s">
        <v>39</v>
      </c>
      <c r="C312" s="52" t="s">
        <v>90</v>
      </c>
      <c r="D312" s="52" t="s">
        <v>16</v>
      </c>
      <c r="E312" s="54">
        <v>0</v>
      </c>
      <c r="F312" s="53"/>
      <c r="G312" s="88">
        <f>SUM(G313:G314)</f>
        <v>864.8000000000001</v>
      </c>
      <c r="H312" s="88">
        <f>SUM(H313:H314)</f>
        <v>82.2454</v>
      </c>
      <c r="I312" s="88">
        <f t="shared" si="8"/>
        <v>9.510337650323773</v>
      </c>
    </row>
    <row r="313" spans="1:9" ht="14.25" customHeight="1">
      <c r="A313" s="37" t="s">
        <v>152</v>
      </c>
      <c r="B313" s="52" t="s">
        <v>39</v>
      </c>
      <c r="C313" s="52" t="s">
        <v>90</v>
      </c>
      <c r="D313" s="52" t="s">
        <v>16</v>
      </c>
      <c r="E313" s="54">
        <v>0</v>
      </c>
      <c r="F313" s="53">
        <v>300</v>
      </c>
      <c r="G313" s="88">
        <v>856.2377</v>
      </c>
      <c r="H313" s="88">
        <v>81.43109</v>
      </c>
      <c r="I313" s="88">
        <f t="shared" si="8"/>
        <v>9.510336907613388</v>
      </c>
    </row>
    <row r="314" spans="1:9" ht="23.25" customHeight="1">
      <c r="A314" s="37" t="s">
        <v>99</v>
      </c>
      <c r="B314" s="52" t="s">
        <v>39</v>
      </c>
      <c r="C314" s="52" t="s">
        <v>90</v>
      </c>
      <c r="D314" s="52" t="s">
        <v>16</v>
      </c>
      <c r="E314" s="54">
        <v>0</v>
      </c>
      <c r="F314" s="53">
        <v>200</v>
      </c>
      <c r="G314" s="88">
        <v>8.5623</v>
      </c>
      <c r="H314" s="88">
        <v>0.81431</v>
      </c>
      <c r="I314" s="88">
        <f t="shared" si="8"/>
        <v>9.510411922030295</v>
      </c>
    </row>
    <row r="315" spans="1:9" ht="96">
      <c r="A315" s="37" t="s">
        <v>224</v>
      </c>
      <c r="B315" s="52" t="s">
        <v>39</v>
      </c>
      <c r="C315" s="52" t="s">
        <v>90</v>
      </c>
      <c r="D315" s="52" t="s">
        <v>16</v>
      </c>
      <c r="E315" s="98">
        <v>0</v>
      </c>
      <c r="F315" s="53"/>
      <c r="G315" s="88">
        <f>SUM(G316:G317)</f>
        <v>6800.6</v>
      </c>
      <c r="H315" s="88">
        <f>SUM(H316:H317)</f>
        <v>5096.6</v>
      </c>
      <c r="I315" s="88">
        <f t="shared" si="8"/>
        <v>74.94338734817516</v>
      </c>
    </row>
    <row r="316" spans="1:9" ht="15.75">
      <c r="A316" s="37" t="s">
        <v>108</v>
      </c>
      <c r="B316" s="52" t="s">
        <v>39</v>
      </c>
      <c r="C316" s="52" t="s">
        <v>90</v>
      </c>
      <c r="D316" s="52" t="s">
        <v>16</v>
      </c>
      <c r="E316" s="54">
        <v>0</v>
      </c>
      <c r="F316" s="53">
        <v>300</v>
      </c>
      <c r="G316" s="88">
        <v>5407.7</v>
      </c>
      <c r="H316" s="88">
        <v>3906.9</v>
      </c>
      <c r="I316" s="88">
        <f t="shared" si="8"/>
        <v>72.24698115649907</v>
      </c>
    </row>
    <row r="317" spans="1:9" ht="26.25" customHeight="1">
      <c r="A317" s="37" t="s">
        <v>109</v>
      </c>
      <c r="B317" s="52" t="s">
        <v>39</v>
      </c>
      <c r="C317" s="52" t="s">
        <v>90</v>
      </c>
      <c r="D317" s="52" t="s">
        <v>16</v>
      </c>
      <c r="E317" s="54">
        <v>0</v>
      </c>
      <c r="F317" s="53">
        <v>300</v>
      </c>
      <c r="G317" s="88">
        <v>1392.9</v>
      </c>
      <c r="H317" s="88">
        <v>1189.7</v>
      </c>
      <c r="I317" s="88">
        <f t="shared" si="8"/>
        <v>85.41173092109986</v>
      </c>
    </row>
    <row r="318" spans="1:9" ht="39.75" customHeight="1">
      <c r="A318" s="37" t="s">
        <v>316</v>
      </c>
      <c r="B318" s="52" t="s">
        <v>39</v>
      </c>
      <c r="C318" s="52" t="s">
        <v>90</v>
      </c>
      <c r="D318" s="52" t="s">
        <v>16</v>
      </c>
      <c r="E318" s="98">
        <v>0</v>
      </c>
      <c r="F318" s="53"/>
      <c r="G318" s="88">
        <f>SUM(G319)</f>
        <v>299.26401</v>
      </c>
      <c r="H318" s="88">
        <f>SUM(H319)</f>
        <v>0</v>
      </c>
      <c r="I318" s="88">
        <f t="shared" si="8"/>
        <v>0</v>
      </c>
    </row>
    <row r="319" spans="1:9" ht="26.25" customHeight="1">
      <c r="A319" s="37" t="s">
        <v>99</v>
      </c>
      <c r="B319" s="52" t="s">
        <v>39</v>
      </c>
      <c r="C319" s="52" t="s">
        <v>90</v>
      </c>
      <c r="D319" s="52" t="s">
        <v>16</v>
      </c>
      <c r="E319" s="54">
        <v>0</v>
      </c>
      <c r="F319" s="53">
        <v>200</v>
      </c>
      <c r="G319" s="88">
        <f>299.2+0.06401</f>
        <v>299.26401</v>
      </c>
      <c r="H319" s="88">
        <v>0</v>
      </c>
      <c r="I319" s="88">
        <f t="shared" si="8"/>
        <v>0</v>
      </c>
    </row>
    <row r="320" spans="1:9" ht="15.75">
      <c r="A320" s="37" t="s">
        <v>217</v>
      </c>
      <c r="B320" s="52" t="s">
        <v>39</v>
      </c>
      <c r="C320" s="52" t="s">
        <v>216</v>
      </c>
      <c r="D320" s="52"/>
      <c r="E320" s="54"/>
      <c r="F320" s="53"/>
      <c r="G320" s="88">
        <f>SUM(G321)</f>
        <v>972.8779999999999</v>
      </c>
      <c r="H320" s="88">
        <f>SUM(H321)</f>
        <v>736.44947</v>
      </c>
      <c r="I320" s="88">
        <f t="shared" si="8"/>
        <v>75.69802894093608</v>
      </c>
    </row>
    <row r="321" spans="1:9" ht="24">
      <c r="A321" s="37" t="s">
        <v>150</v>
      </c>
      <c r="B321" s="52" t="s">
        <v>39</v>
      </c>
      <c r="C321" s="52" t="s">
        <v>216</v>
      </c>
      <c r="D321" s="52" t="s">
        <v>16</v>
      </c>
      <c r="E321" s="54">
        <v>0</v>
      </c>
      <c r="F321" s="53"/>
      <c r="G321" s="88">
        <f>SUM(G322)</f>
        <v>972.8779999999999</v>
      </c>
      <c r="H321" s="88">
        <f>SUM(H322)</f>
        <v>736.44947</v>
      </c>
      <c r="I321" s="88">
        <f t="shared" si="8"/>
        <v>75.69802894093608</v>
      </c>
    </row>
    <row r="322" spans="1:9" ht="84">
      <c r="A322" s="37" t="s">
        <v>103</v>
      </c>
      <c r="B322" s="52" t="s">
        <v>39</v>
      </c>
      <c r="C322" s="52" t="s">
        <v>216</v>
      </c>
      <c r="D322" s="52" t="s">
        <v>16</v>
      </c>
      <c r="E322" s="54">
        <v>0</v>
      </c>
      <c r="F322" s="53"/>
      <c r="G322" s="88">
        <f>SUM(G323:G324)</f>
        <v>972.8779999999999</v>
      </c>
      <c r="H322" s="88">
        <f>SUM(H323:H324)</f>
        <v>736.44947</v>
      </c>
      <c r="I322" s="88">
        <f t="shared" si="8"/>
        <v>75.69802894093608</v>
      </c>
    </row>
    <row r="323" spans="1:9" ht="43.5" customHeight="1">
      <c r="A323" s="37" t="s">
        <v>98</v>
      </c>
      <c r="B323" s="52" t="s">
        <v>39</v>
      </c>
      <c r="C323" s="52" t="s">
        <v>216</v>
      </c>
      <c r="D323" s="52" t="s">
        <v>16</v>
      </c>
      <c r="E323" s="54">
        <v>0</v>
      </c>
      <c r="F323" s="53">
        <v>100</v>
      </c>
      <c r="G323" s="88">
        <f>1000-42.34</f>
        <v>957.66</v>
      </c>
      <c r="H323" s="88">
        <v>728.38547</v>
      </c>
      <c r="I323" s="88">
        <f t="shared" si="8"/>
        <v>76.0588799782804</v>
      </c>
    </row>
    <row r="324" spans="1:9" ht="25.5" customHeight="1">
      <c r="A324" s="37" t="s">
        <v>99</v>
      </c>
      <c r="B324" s="52" t="s">
        <v>39</v>
      </c>
      <c r="C324" s="52" t="s">
        <v>216</v>
      </c>
      <c r="D324" s="52" t="s">
        <v>16</v>
      </c>
      <c r="E324" s="54">
        <v>0</v>
      </c>
      <c r="F324" s="53">
        <v>200</v>
      </c>
      <c r="G324" s="88">
        <f>100-84.782</f>
        <v>15.218000000000004</v>
      </c>
      <c r="H324" s="88">
        <v>8.064</v>
      </c>
      <c r="I324" s="88">
        <f t="shared" si="8"/>
        <v>52.9898804047838</v>
      </c>
    </row>
    <row r="325" spans="1:9" ht="20.25" customHeight="1">
      <c r="A325" s="37" t="s">
        <v>91</v>
      </c>
      <c r="B325" s="52" t="s">
        <v>39</v>
      </c>
      <c r="C325" s="52" t="s">
        <v>132</v>
      </c>
      <c r="D325" s="52"/>
      <c r="E325" s="54"/>
      <c r="F325" s="53"/>
      <c r="G325" s="88">
        <f>SUM(G334+G330+G326)</f>
        <v>400</v>
      </c>
      <c r="H325" s="88">
        <f>SUM(H334+H330+H326)</f>
        <v>292.8338</v>
      </c>
      <c r="I325" s="88">
        <f t="shared" si="8"/>
        <v>73.20845</v>
      </c>
    </row>
    <row r="326" spans="1:9" ht="20.25" customHeight="1" hidden="1">
      <c r="A326" s="37" t="s">
        <v>263</v>
      </c>
      <c r="B326" s="52" t="s">
        <v>39</v>
      </c>
      <c r="C326" s="52" t="s">
        <v>209</v>
      </c>
      <c r="D326" s="52"/>
      <c r="E326" s="54"/>
      <c r="F326" s="53"/>
      <c r="G326" s="88">
        <f>SUM(G327)</f>
        <v>0</v>
      </c>
      <c r="H326" s="88">
        <f>SUM(H327)</f>
        <v>0</v>
      </c>
      <c r="I326" s="88" t="e">
        <f t="shared" si="8"/>
        <v>#DIV/0!</v>
      </c>
    </row>
    <row r="327" spans="1:9" ht="20.25" customHeight="1" hidden="1">
      <c r="A327" s="37" t="s">
        <v>261</v>
      </c>
      <c r="B327" s="52" t="s">
        <v>39</v>
      </c>
      <c r="C327" s="52" t="s">
        <v>209</v>
      </c>
      <c r="D327" s="52" t="s">
        <v>12</v>
      </c>
      <c r="E327" s="54">
        <v>0</v>
      </c>
      <c r="F327" s="53"/>
      <c r="G327" s="88">
        <f>SUM(G328:G329)</f>
        <v>0</v>
      </c>
      <c r="H327" s="88">
        <f>SUM(H328:H329)</f>
        <v>0</v>
      </c>
      <c r="I327" s="88" t="e">
        <f t="shared" si="8"/>
        <v>#DIV/0!</v>
      </c>
    </row>
    <row r="328" spans="1:9" ht="20.25" customHeight="1" hidden="1">
      <c r="A328" s="37" t="s">
        <v>270</v>
      </c>
      <c r="B328" s="52" t="s">
        <v>39</v>
      </c>
      <c r="C328" s="52" t="s">
        <v>209</v>
      </c>
      <c r="D328" s="52" t="s">
        <v>12</v>
      </c>
      <c r="E328" s="54">
        <v>0</v>
      </c>
      <c r="F328" s="53">
        <v>400</v>
      </c>
      <c r="G328" s="88">
        <v>0</v>
      </c>
      <c r="H328" s="88">
        <v>0</v>
      </c>
      <c r="I328" s="88" t="e">
        <f t="shared" si="8"/>
        <v>#DIV/0!</v>
      </c>
    </row>
    <row r="329" spans="1:9" ht="20.25" customHeight="1" hidden="1">
      <c r="A329" s="37" t="s">
        <v>262</v>
      </c>
      <c r="B329" s="52" t="s">
        <v>39</v>
      </c>
      <c r="C329" s="52" t="s">
        <v>209</v>
      </c>
      <c r="D329" s="52" t="s">
        <v>12</v>
      </c>
      <c r="E329" s="54">
        <v>0</v>
      </c>
      <c r="F329" s="53">
        <v>400</v>
      </c>
      <c r="G329" s="88">
        <v>0</v>
      </c>
      <c r="H329" s="88">
        <v>0</v>
      </c>
      <c r="I329" s="88" t="e">
        <f t="shared" si="8"/>
        <v>#DIV/0!</v>
      </c>
    </row>
    <row r="330" spans="1:9" ht="15.75" hidden="1">
      <c r="A330" s="37" t="s">
        <v>259</v>
      </c>
      <c r="B330" s="52" t="s">
        <v>39</v>
      </c>
      <c r="C330" s="52" t="s">
        <v>258</v>
      </c>
      <c r="D330" s="52"/>
      <c r="E330" s="54"/>
      <c r="F330" s="53"/>
      <c r="G330" s="88">
        <f>SUM(G331)</f>
        <v>0</v>
      </c>
      <c r="H330" s="88">
        <f>SUM(H331)</f>
        <v>0</v>
      </c>
      <c r="I330" s="88" t="e">
        <f t="shared" si="8"/>
        <v>#DIV/0!</v>
      </c>
    </row>
    <row r="331" spans="1:9" ht="24" hidden="1">
      <c r="A331" s="37" t="s">
        <v>234</v>
      </c>
      <c r="B331" s="52" t="s">
        <v>39</v>
      </c>
      <c r="C331" s="52" t="s">
        <v>258</v>
      </c>
      <c r="D331" s="52" t="s">
        <v>18</v>
      </c>
      <c r="E331" s="54">
        <v>0</v>
      </c>
      <c r="F331" s="53"/>
      <c r="G331" s="88">
        <f>SUM(G332:G333)</f>
        <v>0</v>
      </c>
      <c r="H331" s="88">
        <f>SUM(H332:H333)</f>
        <v>0</v>
      </c>
      <c r="I331" s="88" t="e">
        <f aca="true" t="shared" si="9" ref="I331:I350">SUM(H331/G331)*100</f>
        <v>#DIV/0!</v>
      </c>
    </row>
    <row r="332" spans="1:9" ht="36" hidden="1">
      <c r="A332" s="37" t="s">
        <v>288</v>
      </c>
      <c r="B332" s="52" t="s">
        <v>39</v>
      </c>
      <c r="C332" s="52" t="s">
        <v>258</v>
      </c>
      <c r="D332" s="52" t="s">
        <v>18</v>
      </c>
      <c r="E332" s="54">
        <v>0</v>
      </c>
      <c r="F332" s="53">
        <v>400</v>
      </c>
      <c r="G332" s="88">
        <v>0</v>
      </c>
      <c r="H332" s="88">
        <v>0</v>
      </c>
      <c r="I332" s="88" t="e">
        <f t="shared" si="9"/>
        <v>#DIV/0!</v>
      </c>
    </row>
    <row r="333" spans="1:9" ht="24" hidden="1">
      <c r="A333" s="37" t="s">
        <v>154</v>
      </c>
      <c r="B333" s="52" t="s">
        <v>39</v>
      </c>
      <c r="C333" s="52" t="s">
        <v>258</v>
      </c>
      <c r="D333" s="52" t="s">
        <v>18</v>
      </c>
      <c r="E333" s="54">
        <v>0</v>
      </c>
      <c r="F333" s="53">
        <v>400</v>
      </c>
      <c r="G333" s="88">
        <v>0</v>
      </c>
      <c r="H333" s="88">
        <v>0</v>
      </c>
      <c r="I333" s="88" t="e">
        <f t="shared" si="9"/>
        <v>#DIV/0!</v>
      </c>
    </row>
    <row r="334" spans="1:9" ht="15.75">
      <c r="A334" s="37" t="s">
        <v>210</v>
      </c>
      <c r="B334" s="52" t="s">
        <v>39</v>
      </c>
      <c r="C334" s="52" t="s">
        <v>92</v>
      </c>
      <c r="D334" s="52"/>
      <c r="E334" s="54"/>
      <c r="F334" s="53"/>
      <c r="G334" s="88">
        <f>SUM(G335)</f>
        <v>400</v>
      </c>
      <c r="H334" s="88">
        <f>SUM(H335)</f>
        <v>292.8338</v>
      </c>
      <c r="I334" s="88">
        <f t="shared" si="9"/>
        <v>73.20845</v>
      </c>
    </row>
    <row r="335" spans="1:9" ht="24">
      <c r="A335" s="37" t="s">
        <v>234</v>
      </c>
      <c r="B335" s="52" t="s">
        <v>39</v>
      </c>
      <c r="C335" s="52" t="s">
        <v>92</v>
      </c>
      <c r="D335" s="52" t="s">
        <v>18</v>
      </c>
      <c r="E335" s="54">
        <v>0</v>
      </c>
      <c r="F335" s="53"/>
      <c r="G335" s="88">
        <f>SUM(G336)</f>
        <v>400</v>
      </c>
      <c r="H335" s="88">
        <f>SUM(H336)</f>
        <v>292.8338</v>
      </c>
      <c r="I335" s="88">
        <f t="shared" si="9"/>
        <v>73.20845</v>
      </c>
    </row>
    <row r="336" spans="1:9" ht="24" customHeight="1">
      <c r="A336" s="37" t="s">
        <v>99</v>
      </c>
      <c r="B336" s="52" t="s">
        <v>39</v>
      </c>
      <c r="C336" s="52" t="s">
        <v>92</v>
      </c>
      <c r="D336" s="52" t="s">
        <v>18</v>
      </c>
      <c r="E336" s="54">
        <v>0</v>
      </c>
      <c r="F336" s="53">
        <v>200</v>
      </c>
      <c r="G336" s="88">
        <f>500+10-10-100</f>
        <v>400</v>
      </c>
      <c r="H336" s="88">
        <v>292.8338</v>
      </c>
      <c r="I336" s="88">
        <f t="shared" si="9"/>
        <v>73.20845</v>
      </c>
    </row>
    <row r="337" spans="1:9" ht="15.75">
      <c r="A337" s="37" t="s">
        <v>93</v>
      </c>
      <c r="B337" s="52" t="s">
        <v>39</v>
      </c>
      <c r="C337" s="52" t="s">
        <v>133</v>
      </c>
      <c r="D337" s="52"/>
      <c r="E337" s="54"/>
      <c r="F337" s="53"/>
      <c r="G337" s="88">
        <f>SUM(G339)</f>
        <v>2147.7</v>
      </c>
      <c r="H337" s="88">
        <f>SUM(H339)</f>
        <v>1847.7</v>
      </c>
      <c r="I337" s="88">
        <f t="shared" si="9"/>
        <v>86.03156865484007</v>
      </c>
    </row>
    <row r="338" spans="1:9" ht="18.75" customHeight="1">
      <c r="A338" s="37" t="s">
        <v>330</v>
      </c>
      <c r="B338" s="52" t="s">
        <v>39</v>
      </c>
      <c r="C338" s="52" t="s">
        <v>94</v>
      </c>
      <c r="D338" s="52"/>
      <c r="E338" s="54"/>
      <c r="F338" s="99"/>
      <c r="G338" s="88">
        <f>SUM(G339)</f>
        <v>2147.7</v>
      </c>
      <c r="H338" s="88">
        <f>SUM(H339)</f>
        <v>1847.7</v>
      </c>
      <c r="I338" s="88">
        <f t="shared" si="9"/>
        <v>86.03156865484007</v>
      </c>
    </row>
    <row r="339" spans="1:9" ht="24.75" customHeight="1">
      <c r="A339" s="37" t="s">
        <v>305</v>
      </c>
      <c r="B339" s="52" t="s">
        <v>39</v>
      </c>
      <c r="C339" s="52" t="s">
        <v>94</v>
      </c>
      <c r="D339" s="52" t="s">
        <v>136</v>
      </c>
      <c r="E339" s="54">
        <v>0</v>
      </c>
      <c r="F339" s="53"/>
      <c r="G339" s="88">
        <f>SUM(G340:G341)</f>
        <v>2147.7</v>
      </c>
      <c r="H339" s="88">
        <f>SUM(H340:H341)</f>
        <v>1847.7</v>
      </c>
      <c r="I339" s="88">
        <f t="shared" si="9"/>
        <v>86.03156865484007</v>
      </c>
    </row>
    <row r="340" spans="1:9" ht="24">
      <c r="A340" s="37" t="s">
        <v>151</v>
      </c>
      <c r="B340" s="52" t="s">
        <v>39</v>
      </c>
      <c r="C340" s="52" t="s">
        <v>94</v>
      </c>
      <c r="D340" s="52" t="s">
        <v>136</v>
      </c>
      <c r="E340" s="54">
        <v>0</v>
      </c>
      <c r="F340" s="53">
        <v>600</v>
      </c>
      <c r="G340" s="88">
        <v>1200</v>
      </c>
      <c r="H340" s="88">
        <v>900</v>
      </c>
      <c r="I340" s="88">
        <f t="shared" si="9"/>
        <v>75</v>
      </c>
    </row>
    <row r="341" spans="1:9" ht="84">
      <c r="A341" s="37" t="s">
        <v>194</v>
      </c>
      <c r="B341" s="52" t="s">
        <v>39</v>
      </c>
      <c r="C341" s="52" t="s">
        <v>94</v>
      </c>
      <c r="D341" s="52" t="s">
        <v>136</v>
      </c>
      <c r="E341" s="54">
        <v>0</v>
      </c>
      <c r="F341" s="53">
        <v>600</v>
      </c>
      <c r="G341" s="88">
        <f>1071.5-123.8</f>
        <v>947.7</v>
      </c>
      <c r="H341" s="88">
        <v>947.7</v>
      </c>
      <c r="I341" s="88">
        <f t="shared" si="9"/>
        <v>100</v>
      </c>
    </row>
    <row r="342" spans="1:9" ht="15.75">
      <c r="A342" s="37" t="s">
        <v>331</v>
      </c>
      <c r="B342" s="52" t="s">
        <v>39</v>
      </c>
      <c r="C342" s="52" t="s">
        <v>134</v>
      </c>
      <c r="D342" s="52"/>
      <c r="E342" s="54"/>
      <c r="F342" s="53"/>
      <c r="G342" s="88">
        <f>SUM(G345)</f>
        <v>1370</v>
      </c>
      <c r="H342" s="88">
        <f>SUM(H345)</f>
        <v>743.17806</v>
      </c>
      <c r="I342" s="88">
        <f t="shared" si="9"/>
        <v>54.24657372262773</v>
      </c>
    </row>
    <row r="343" spans="1:9" ht="24">
      <c r="A343" s="37" t="s">
        <v>314</v>
      </c>
      <c r="B343" s="52" t="s">
        <v>39</v>
      </c>
      <c r="C343" s="52" t="s">
        <v>95</v>
      </c>
      <c r="D343" s="52"/>
      <c r="E343" s="54"/>
      <c r="F343" s="53"/>
      <c r="G343" s="88">
        <f>SUM(G344)</f>
        <v>1370</v>
      </c>
      <c r="H343" s="88">
        <f>SUM(H344)</f>
        <v>743.17806</v>
      </c>
      <c r="I343" s="88">
        <f t="shared" si="9"/>
        <v>54.24657372262773</v>
      </c>
    </row>
    <row r="344" spans="1:9" ht="24">
      <c r="A344" s="37" t="s">
        <v>150</v>
      </c>
      <c r="B344" s="52" t="s">
        <v>39</v>
      </c>
      <c r="C344" s="52" t="s">
        <v>95</v>
      </c>
      <c r="D344" s="52" t="s">
        <v>16</v>
      </c>
      <c r="E344" s="54">
        <v>0</v>
      </c>
      <c r="F344" s="53"/>
      <c r="G344" s="88">
        <f>SUM(G345)</f>
        <v>1370</v>
      </c>
      <c r="H344" s="88">
        <f>SUM(H345)</f>
        <v>743.17806</v>
      </c>
      <c r="I344" s="88">
        <f t="shared" si="9"/>
        <v>54.24657372262773</v>
      </c>
    </row>
    <row r="345" spans="1:9" ht="15.75">
      <c r="A345" s="37" t="s">
        <v>334</v>
      </c>
      <c r="B345" s="52" t="s">
        <v>39</v>
      </c>
      <c r="C345" s="52" t="s">
        <v>95</v>
      </c>
      <c r="D345" s="52" t="s">
        <v>16</v>
      </c>
      <c r="E345" s="54">
        <v>0</v>
      </c>
      <c r="F345" s="53">
        <v>700</v>
      </c>
      <c r="G345" s="88">
        <f>6+900+64+400</f>
        <v>1370</v>
      </c>
      <c r="H345" s="88">
        <v>743.17806</v>
      </c>
      <c r="I345" s="88">
        <f t="shared" si="9"/>
        <v>54.24657372262773</v>
      </c>
    </row>
    <row r="346" spans="1:9" ht="24">
      <c r="A346" s="37" t="s">
        <v>333</v>
      </c>
      <c r="B346" s="52" t="s">
        <v>39</v>
      </c>
      <c r="C346" s="52" t="s">
        <v>163</v>
      </c>
      <c r="D346" s="52"/>
      <c r="E346" s="54"/>
      <c r="F346" s="53"/>
      <c r="G346" s="88">
        <f aca="true" t="shared" si="10" ref="G346:H348">SUM(G347)</f>
        <v>21884.85879</v>
      </c>
      <c r="H346" s="88">
        <f t="shared" si="10"/>
        <v>13539.65879</v>
      </c>
      <c r="I346" s="88">
        <f t="shared" si="9"/>
        <v>61.86770003828752</v>
      </c>
    </row>
    <row r="347" spans="1:9" ht="15.75">
      <c r="A347" s="37" t="s">
        <v>164</v>
      </c>
      <c r="B347" s="52" t="s">
        <v>39</v>
      </c>
      <c r="C347" s="52" t="s">
        <v>165</v>
      </c>
      <c r="D347" s="52"/>
      <c r="E347" s="54"/>
      <c r="F347" s="53"/>
      <c r="G347" s="88">
        <f t="shared" si="10"/>
        <v>21884.85879</v>
      </c>
      <c r="H347" s="88">
        <f t="shared" si="10"/>
        <v>13539.65879</v>
      </c>
      <c r="I347" s="88">
        <f t="shared" si="9"/>
        <v>61.86770003828752</v>
      </c>
    </row>
    <row r="348" spans="1:9" ht="24">
      <c r="A348" s="37" t="s">
        <v>150</v>
      </c>
      <c r="B348" s="52" t="s">
        <v>39</v>
      </c>
      <c r="C348" s="52" t="s">
        <v>165</v>
      </c>
      <c r="D348" s="52" t="s">
        <v>16</v>
      </c>
      <c r="E348" s="54">
        <v>0</v>
      </c>
      <c r="F348" s="53"/>
      <c r="G348" s="88">
        <f t="shared" si="10"/>
        <v>21884.85879</v>
      </c>
      <c r="H348" s="88">
        <f t="shared" si="10"/>
        <v>13539.65879</v>
      </c>
      <c r="I348" s="88">
        <f t="shared" si="9"/>
        <v>61.86770003828752</v>
      </c>
    </row>
    <row r="349" spans="1:9" ht="15.75">
      <c r="A349" s="37" t="s">
        <v>153</v>
      </c>
      <c r="B349" s="52" t="s">
        <v>39</v>
      </c>
      <c r="C349" s="52" t="s">
        <v>165</v>
      </c>
      <c r="D349" s="52" t="s">
        <v>16</v>
      </c>
      <c r="E349" s="54">
        <v>0</v>
      </c>
      <c r="F349" s="53">
        <v>500</v>
      </c>
      <c r="G349" s="88">
        <f>15643.5+1700+500+4041.35879</f>
        <v>21884.85879</v>
      </c>
      <c r="H349" s="88">
        <v>13539.65879</v>
      </c>
      <c r="I349" s="88">
        <f t="shared" si="9"/>
        <v>61.86770003828752</v>
      </c>
    </row>
    <row r="350" spans="1:9" ht="15.75">
      <c r="A350" s="37" t="s">
        <v>96</v>
      </c>
      <c r="B350" s="52"/>
      <c r="C350" s="52"/>
      <c r="D350" s="52"/>
      <c r="E350" s="54"/>
      <c r="F350" s="53"/>
      <c r="G350" s="88">
        <f>SUM(G10+G18+G26)</f>
        <v>505721.58928</v>
      </c>
      <c r="H350" s="88">
        <f>SUM(H10+H18+H26)</f>
        <v>346330.81569000013</v>
      </c>
      <c r="I350" s="88">
        <f t="shared" si="9"/>
        <v>68.48250559820357</v>
      </c>
    </row>
  </sheetData>
  <sheetProtection/>
  <mergeCells count="7">
    <mergeCell ref="G4:I4"/>
    <mergeCell ref="G8:H8"/>
    <mergeCell ref="G1:I1"/>
    <mergeCell ref="G2:I2"/>
    <mergeCell ref="G3:I3"/>
    <mergeCell ref="A6:I6"/>
    <mergeCell ref="E5:I5"/>
  </mergeCells>
  <printOptions/>
  <pageMargins left="0.3937007874015748" right="0" top="0.3937007874015748" bottom="0.3937007874015748" header="0.5118110236220472" footer="0.5118110236220472"/>
  <pageSetup fitToHeight="1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="110" zoomScaleNormal="110" zoomScalePageLayoutView="0" workbookViewId="0" topLeftCell="A10">
      <selection activeCell="F7" sqref="F7"/>
    </sheetView>
  </sheetViews>
  <sheetFormatPr defaultColWidth="9.140625" defaultRowHeight="12.75"/>
  <cols>
    <col min="1" max="1" width="5.7109375" style="17" customWidth="1"/>
    <col min="2" max="2" width="49.57421875" style="17" customWidth="1"/>
    <col min="3" max="3" width="11.28125" style="17" customWidth="1"/>
    <col min="4" max="4" width="11.8515625" style="17" customWidth="1"/>
    <col min="5" max="5" width="10.8515625" style="17" bestFit="1" customWidth="1"/>
    <col min="6" max="16384" width="9.140625" style="17" customWidth="1"/>
  </cols>
  <sheetData>
    <row r="1" spans="1:5" ht="16.5">
      <c r="A1" s="15" t="s">
        <v>119</v>
      </c>
      <c r="B1" s="16"/>
      <c r="C1" s="106" t="s">
        <v>358</v>
      </c>
      <c r="D1" s="106"/>
      <c r="E1" s="106"/>
    </row>
    <row r="2" spans="1:5" ht="16.5">
      <c r="A2" s="15"/>
      <c r="B2" s="16"/>
      <c r="C2" s="106" t="s">
        <v>354</v>
      </c>
      <c r="D2" s="106"/>
      <c r="E2" s="106"/>
    </row>
    <row r="3" spans="1:10" ht="16.5">
      <c r="A3" s="15"/>
      <c r="B3" s="106" t="s">
        <v>359</v>
      </c>
      <c r="C3" s="106"/>
      <c r="D3" s="106"/>
      <c r="E3" s="106"/>
      <c r="F3" s="48"/>
      <c r="H3" s="111"/>
      <c r="I3" s="111"/>
      <c r="J3" s="111"/>
    </row>
    <row r="4" spans="1:5" ht="16.5">
      <c r="A4" s="15"/>
      <c r="B4" s="108" t="s">
        <v>356</v>
      </c>
      <c r="C4" s="108"/>
      <c r="D4" s="108"/>
      <c r="E4" s="108"/>
    </row>
    <row r="5" spans="1:5" ht="16.5">
      <c r="A5" s="15"/>
      <c r="B5" s="108" t="s">
        <v>357</v>
      </c>
      <c r="C5" s="108"/>
      <c r="D5" s="108"/>
      <c r="E5" s="108"/>
    </row>
    <row r="6" spans="1:5" ht="41.25" customHeight="1">
      <c r="A6" s="107" t="s">
        <v>350</v>
      </c>
      <c r="B6" s="107"/>
      <c r="C6" s="107"/>
      <c r="D6" s="107"/>
      <c r="E6" s="107"/>
    </row>
    <row r="7" spans="1:5" ht="16.5">
      <c r="A7" s="18" t="s">
        <v>122</v>
      </c>
      <c r="B7" s="16"/>
      <c r="C7" s="105"/>
      <c r="D7" s="105"/>
      <c r="E7" s="72" t="s">
        <v>271</v>
      </c>
    </row>
    <row r="8" spans="1:5" ht="35.25" customHeight="1">
      <c r="A8" s="32" t="s">
        <v>123</v>
      </c>
      <c r="B8" s="32" t="s">
        <v>124</v>
      </c>
      <c r="C8" s="27" t="s">
        <v>280</v>
      </c>
      <c r="D8" s="27" t="s">
        <v>347</v>
      </c>
      <c r="E8" s="27" t="s">
        <v>346</v>
      </c>
    </row>
    <row r="9" spans="1:5" ht="16.5" customHeight="1">
      <c r="A9" s="66" t="s">
        <v>41</v>
      </c>
      <c r="B9" s="67" t="s">
        <v>125</v>
      </c>
      <c r="C9" s="68">
        <f>SUM(C10:C18)</f>
        <v>86289.13978000003</v>
      </c>
      <c r="D9" s="68">
        <f>SUM(D10:D18)</f>
        <v>70738.43283</v>
      </c>
      <c r="E9" s="86">
        <f aca="true" t="shared" si="0" ref="E9:E61">SUM(D9/C9)*100</f>
        <v>81.97837295672711</v>
      </c>
    </row>
    <row r="10" spans="1:5" ht="45" customHeight="1">
      <c r="A10" s="36" t="s">
        <v>42</v>
      </c>
      <c r="B10" s="34" t="s">
        <v>33</v>
      </c>
      <c r="C10" s="35">
        <f>SUM('Таблица №6'!F11)</f>
        <v>2129.94572</v>
      </c>
      <c r="D10" s="35">
        <f>SUM('Таблица №6'!G11)</f>
        <v>1528.09738</v>
      </c>
      <c r="E10" s="87">
        <f t="shared" si="0"/>
        <v>71.74348931295769</v>
      </c>
    </row>
    <row r="11" spans="1:5" ht="60.75" customHeight="1">
      <c r="A11" s="36" t="s">
        <v>28</v>
      </c>
      <c r="B11" s="34" t="s">
        <v>25</v>
      </c>
      <c r="C11" s="35">
        <f>SUM('Таблица №6'!F14)</f>
        <v>543</v>
      </c>
      <c r="D11" s="35">
        <f>SUM('Таблица №6'!G14)</f>
        <v>373.39511</v>
      </c>
      <c r="E11" s="87">
        <f t="shared" si="0"/>
        <v>68.76521362799262</v>
      </c>
    </row>
    <row r="12" spans="1:5" ht="62.25" customHeight="1">
      <c r="A12" s="36" t="s">
        <v>40</v>
      </c>
      <c r="B12" s="34" t="s">
        <v>34</v>
      </c>
      <c r="C12" s="35">
        <f>SUM('Таблица №6'!F20)</f>
        <v>36394.554280000004</v>
      </c>
      <c r="D12" s="35">
        <f>SUM('Таблица №6'!G20)</f>
        <v>27057.853999999996</v>
      </c>
      <c r="E12" s="87">
        <f t="shared" si="0"/>
        <v>74.34588645276848</v>
      </c>
    </row>
    <row r="13" spans="1:5" ht="15" customHeight="1">
      <c r="A13" s="36" t="s">
        <v>43</v>
      </c>
      <c r="B13" s="34" t="s">
        <v>35</v>
      </c>
      <c r="C13" s="35">
        <f>SUM('Приложение 2'!G51)</f>
        <v>0</v>
      </c>
      <c r="D13" s="35">
        <f>SUM('Приложение 2'!H51)</f>
        <v>0</v>
      </c>
      <c r="E13" s="87">
        <v>0</v>
      </c>
    </row>
    <row r="14" spans="1:5" ht="42.75" customHeight="1">
      <c r="A14" s="36" t="s">
        <v>31</v>
      </c>
      <c r="B14" s="34" t="s">
        <v>126</v>
      </c>
      <c r="C14" s="35">
        <f>SUM('Таблица №6'!F44)</f>
        <v>1713.3</v>
      </c>
      <c r="D14" s="35">
        <f>SUM('Таблица №6'!G44)</f>
        <v>1277.96389</v>
      </c>
      <c r="E14" s="87">
        <f t="shared" si="0"/>
        <v>74.59078328372148</v>
      </c>
    </row>
    <row r="15" spans="1:5" ht="1.5" customHeight="1" hidden="1">
      <c r="A15" s="36" t="s">
        <v>44</v>
      </c>
      <c r="B15" s="34" t="s">
        <v>36</v>
      </c>
      <c r="C15" s="35">
        <f>SUM('Таблица №6'!F51)</f>
        <v>0</v>
      </c>
      <c r="D15" s="35">
        <f>SUM('Таблица №6'!G51)</f>
        <v>0</v>
      </c>
      <c r="E15" s="87" t="e">
        <f t="shared" si="0"/>
        <v>#DIV/0!</v>
      </c>
    </row>
    <row r="16" spans="1:5" ht="16.5" customHeight="1">
      <c r="A16" s="36" t="s">
        <v>45</v>
      </c>
      <c r="B16" s="34" t="s">
        <v>38</v>
      </c>
      <c r="C16" s="35">
        <f>SUM('Таблица №6'!F55)</f>
        <v>320</v>
      </c>
      <c r="D16" s="35">
        <f>SUM('Таблица №6'!G55)</f>
        <v>0</v>
      </c>
      <c r="E16" s="87">
        <f t="shared" si="0"/>
        <v>0</v>
      </c>
    </row>
    <row r="17" spans="1:5" ht="16.5" customHeight="1">
      <c r="A17" s="36" t="s">
        <v>29</v>
      </c>
      <c r="B17" s="34" t="s">
        <v>46</v>
      </c>
      <c r="C17" s="35">
        <f>SUM('Таблица №6'!F57)-C18</f>
        <v>45188.33978000001</v>
      </c>
      <c r="D17" s="35">
        <f>SUM('Таблица №6'!G57)-D18</f>
        <v>40501.12245000001</v>
      </c>
      <c r="E17" s="87">
        <f t="shared" si="0"/>
        <v>89.62737433413183</v>
      </c>
    </row>
    <row r="18" spans="1:5" ht="16.5" customHeight="1">
      <c r="A18" s="36" t="s">
        <v>29</v>
      </c>
      <c r="B18" s="34" t="s">
        <v>47</v>
      </c>
      <c r="C18" s="35">
        <f>SUM('Таблица №6'!F95)</f>
        <v>0</v>
      </c>
      <c r="D18" s="35">
        <f>SUM('Таблица №6'!G95)</f>
        <v>0</v>
      </c>
      <c r="E18" s="87">
        <v>0</v>
      </c>
    </row>
    <row r="19" spans="1:5" ht="16.5" customHeight="1">
      <c r="A19" s="66" t="s">
        <v>110</v>
      </c>
      <c r="B19" s="67" t="s">
        <v>127</v>
      </c>
      <c r="C19" s="68">
        <f>SUM(C20)</f>
        <v>20</v>
      </c>
      <c r="D19" s="68">
        <f>SUM(D20)</f>
        <v>1.4565</v>
      </c>
      <c r="E19" s="86">
        <f t="shared" si="0"/>
        <v>7.2825</v>
      </c>
    </row>
    <row r="20" spans="1:5" ht="16.5" customHeight="1">
      <c r="A20" s="36" t="s">
        <v>50</v>
      </c>
      <c r="B20" s="34" t="s">
        <v>49</v>
      </c>
      <c r="C20" s="35">
        <f>SUM('Таблица №6'!F96)</f>
        <v>20</v>
      </c>
      <c r="D20" s="35">
        <f>SUM('Таблица №6'!G96)</f>
        <v>1.4565</v>
      </c>
      <c r="E20" s="87">
        <f t="shared" si="0"/>
        <v>7.2825</v>
      </c>
    </row>
    <row r="21" spans="1:5" ht="27.75" customHeight="1">
      <c r="A21" s="66" t="s">
        <v>111</v>
      </c>
      <c r="B21" s="67" t="s">
        <v>115</v>
      </c>
      <c r="C21" s="68">
        <f>SUM(C22:C23)</f>
        <v>70</v>
      </c>
      <c r="D21" s="68">
        <f>SUM(D22:D23)</f>
        <v>0</v>
      </c>
      <c r="E21" s="87">
        <f t="shared" si="0"/>
        <v>0</v>
      </c>
    </row>
    <row r="22" spans="1:5" ht="16.5" customHeight="1">
      <c r="A22" s="36" t="s">
        <v>51</v>
      </c>
      <c r="B22" s="34" t="s">
        <v>286</v>
      </c>
      <c r="C22" s="35">
        <f>SUM('Таблица №6'!F102)</f>
        <v>20</v>
      </c>
      <c r="D22" s="35">
        <f>SUM('Таблица №6'!G102)</f>
        <v>0</v>
      </c>
      <c r="E22" s="87">
        <f t="shared" si="0"/>
        <v>0</v>
      </c>
    </row>
    <row r="23" spans="1:5" ht="42.75" customHeight="1">
      <c r="A23" s="36" t="s">
        <v>285</v>
      </c>
      <c r="B23" s="34" t="s">
        <v>284</v>
      </c>
      <c r="C23" s="35">
        <f>SUM('Таблица №6'!F105)</f>
        <v>50</v>
      </c>
      <c r="D23" s="35">
        <f>SUM('Таблица №6'!G105)</f>
        <v>0</v>
      </c>
      <c r="E23" s="87">
        <f t="shared" si="0"/>
        <v>0</v>
      </c>
    </row>
    <row r="24" spans="1:5" ht="15.75" customHeight="1">
      <c r="A24" s="66" t="s">
        <v>59</v>
      </c>
      <c r="B24" s="67" t="s">
        <v>116</v>
      </c>
      <c r="C24" s="68">
        <f>SUM(C25:C27)</f>
        <v>25684.40628</v>
      </c>
      <c r="D24" s="68">
        <f>SUM(D25:D27)</f>
        <v>16361.111</v>
      </c>
      <c r="E24" s="86">
        <f t="shared" si="0"/>
        <v>63.70056142874564</v>
      </c>
    </row>
    <row r="25" spans="1:5" ht="15.75" customHeight="1">
      <c r="A25" s="36" t="s">
        <v>141</v>
      </c>
      <c r="B25" s="34" t="s">
        <v>140</v>
      </c>
      <c r="C25" s="35">
        <f>SUM('Таблица №6'!F112)</f>
        <v>143.5</v>
      </c>
      <c r="D25" s="35">
        <f>SUM('Таблица №6'!G112)</f>
        <v>143.5</v>
      </c>
      <c r="E25" s="87">
        <f t="shared" si="0"/>
        <v>100</v>
      </c>
    </row>
    <row r="26" spans="1:5" ht="15.75" customHeight="1">
      <c r="A26" s="36" t="s">
        <v>52</v>
      </c>
      <c r="B26" s="34" t="s">
        <v>117</v>
      </c>
      <c r="C26" s="35">
        <f>SUM('Таблица №6'!F116)</f>
        <v>24061.30808</v>
      </c>
      <c r="D26" s="35">
        <f>SUM('Таблица №6'!G116)</f>
        <v>15808.611</v>
      </c>
      <c r="E26" s="87">
        <f t="shared" si="0"/>
        <v>65.70137811061186</v>
      </c>
    </row>
    <row r="27" spans="1:5" ht="15.75" customHeight="1">
      <c r="A27" s="36" t="s">
        <v>53</v>
      </c>
      <c r="B27" s="34" t="s">
        <v>118</v>
      </c>
      <c r="C27" s="35">
        <f>SUM('Таблица №6'!F124)</f>
        <v>1479.5982</v>
      </c>
      <c r="D27" s="35">
        <f>SUM('Таблица №6'!G124)</f>
        <v>409</v>
      </c>
      <c r="E27" s="87">
        <f t="shared" si="0"/>
        <v>27.642639738274895</v>
      </c>
    </row>
    <row r="28" spans="1:5" ht="15.75" customHeight="1">
      <c r="A28" s="66" t="s">
        <v>56</v>
      </c>
      <c r="B28" s="67" t="s">
        <v>128</v>
      </c>
      <c r="C28" s="68">
        <f>SUM(C29:C30)</f>
        <v>21538.600000000002</v>
      </c>
      <c r="D28" s="68">
        <f>SUM(D29:D30)</f>
        <v>10228.51048</v>
      </c>
      <c r="E28" s="86">
        <f t="shared" si="0"/>
        <v>47.489207655093644</v>
      </c>
    </row>
    <row r="29" spans="1:5" ht="14.25" customHeight="1">
      <c r="A29" s="36" t="s">
        <v>57</v>
      </c>
      <c r="B29" s="34" t="s">
        <v>54</v>
      </c>
      <c r="C29" s="35">
        <f>SUM('Таблица №6'!F136)</f>
        <v>14513.2</v>
      </c>
      <c r="D29" s="35">
        <f>SUM('Таблица №6'!G136)</f>
        <v>3891.1104800000003</v>
      </c>
      <c r="E29" s="87">
        <f t="shared" si="0"/>
        <v>26.810837582338838</v>
      </c>
    </row>
    <row r="30" spans="1:5" ht="15">
      <c r="A30" s="36" t="s">
        <v>129</v>
      </c>
      <c r="B30" s="34" t="s">
        <v>130</v>
      </c>
      <c r="C30" s="35">
        <f>SUM('Таблица №6'!F149)</f>
        <v>7025.400000000001</v>
      </c>
      <c r="D30" s="35">
        <f>SUM('Таблица №6'!G149)</f>
        <v>6337.4</v>
      </c>
      <c r="E30" s="87">
        <f t="shared" si="0"/>
        <v>90.20696330458051</v>
      </c>
    </row>
    <row r="31" spans="1:5" ht="15.75" customHeight="1">
      <c r="A31" s="66" t="s">
        <v>112</v>
      </c>
      <c r="B31" s="67" t="s">
        <v>58</v>
      </c>
      <c r="C31" s="68">
        <f>SUM(C32)</f>
        <v>20</v>
      </c>
      <c r="D31" s="68">
        <f>SUM(D32)</f>
        <v>0</v>
      </c>
      <c r="E31" s="86">
        <f t="shared" si="0"/>
        <v>0</v>
      </c>
    </row>
    <row r="32" spans="1:5" ht="15.75" customHeight="1">
      <c r="A32" s="36" t="s">
        <v>60</v>
      </c>
      <c r="B32" s="34" t="s">
        <v>313</v>
      </c>
      <c r="C32" s="35">
        <f>SUM('Таблица №6'!F155)</f>
        <v>20</v>
      </c>
      <c r="D32" s="35">
        <f>SUM('Таблица №6'!G155)</f>
        <v>0</v>
      </c>
      <c r="E32" s="87">
        <f t="shared" si="0"/>
        <v>0</v>
      </c>
    </row>
    <row r="33" spans="1:5" ht="18" customHeight="1">
      <c r="A33" s="66" t="s">
        <v>64</v>
      </c>
      <c r="B33" s="67" t="s">
        <v>61</v>
      </c>
      <c r="C33" s="68">
        <f>SUM(C34:C38)</f>
        <v>287653.86058000004</v>
      </c>
      <c r="D33" s="68">
        <f>SUM(D34:D38)</f>
        <v>185636.48421000008</v>
      </c>
      <c r="E33" s="86">
        <f t="shared" si="0"/>
        <v>64.53467505553338</v>
      </c>
    </row>
    <row r="34" spans="1:5" ht="18" customHeight="1">
      <c r="A34" s="36" t="s">
        <v>63</v>
      </c>
      <c r="B34" s="34" t="s">
        <v>62</v>
      </c>
      <c r="C34" s="35">
        <f>SUM('Таблица №6'!F160)</f>
        <v>39010.24885</v>
      </c>
      <c r="D34" s="35">
        <f>SUM('Таблица №6'!G160)</f>
        <v>26826.803969999994</v>
      </c>
      <c r="E34" s="87">
        <f t="shared" si="0"/>
        <v>68.76860507389455</v>
      </c>
    </row>
    <row r="35" spans="1:5" ht="18" customHeight="1">
      <c r="A35" s="36" t="s">
        <v>65</v>
      </c>
      <c r="B35" s="34" t="s">
        <v>70</v>
      </c>
      <c r="C35" s="35">
        <f>SUM('Таблица №6'!F183)</f>
        <v>224949.80636000002</v>
      </c>
      <c r="D35" s="35">
        <f>SUM('Таблица №6'!G183)</f>
        <v>140766.24421000003</v>
      </c>
      <c r="E35" s="87">
        <f t="shared" si="0"/>
        <v>62.576735000484405</v>
      </c>
    </row>
    <row r="36" spans="1:5" ht="18" customHeight="1">
      <c r="A36" s="36" t="s">
        <v>203</v>
      </c>
      <c r="B36" s="34" t="s">
        <v>202</v>
      </c>
      <c r="C36" s="35">
        <f>SUM('Таблица №6'!F224)</f>
        <v>10973.630009999999</v>
      </c>
      <c r="D36" s="35">
        <f>SUM('Таблица №6'!G224)</f>
        <v>7918.54307</v>
      </c>
      <c r="E36" s="87">
        <f t="shared" si="0"/>
        <v>72.15974169699567</v>
      </c>
    </row>
    <row r="37" spans="1:5" ht="18" customHeight="1">
      <c r="A37" s="36" t="s">
        <v>71</v>
      </c>
      <c r="B37" s="34" t="s">
        <v>287</v>
      </c>
      <c r="C37" s="35">
        <f>SUM('Таблица №6'!F233)</f>
        <v>4660</v>
      </c>
      <c r="D37" s="35">
        <f>SUM('Таблица №6'!G233)</f>
        <v>3627.80209</v>
      </c>
      <c r="E37" s="87">
        <f t="shared" si="0"/>
        <v>77.84983025751073</v>
      </c>
    </row>
    <row r="38" spans="1:5" ht="18" customHeight="1">
      <c r="A38" s="36" t="s">
        <v>73</v>
      </c>
      <c r="B38" s="34" t="s">
        <v>72</v>
      </c>
      <c r="C38" s="35">
        <f>SUM('Таблица №6'!F246)</f>
        <v>8060.17536</v>
      </c>
      <c r="D38" s="35">
        <f>SUM('Таблица №6'!G246)</f>
        <v>6497.09087</v>
      </c>
      <c r="E38" s="87">
        <f t="shared" si="0"/>
        <v>80.60731410687323</v>
      </c>
    </row>
    <row r="39" spans="1:5" ht="18" customHeight="1">
      <c r="A39" s="66" t="s">
        <v>113</v>
      </c>
      <c r="B39" s="67" t="s">
        <v>131</v>
      </c>
      <c r="C39" s="68">
        <f>SUM(C40:C42)</f>
        <v>31513.15984</v>
      </c>
      <c r="D39" s="68">
        <f>SUM(D40:D42)</f>
        <v>28886.93188</v>
      </c>
      <c r="E39" s="86">
        <f t="shared" si="0"/>
        <v>91.6662499941802</v>
      </c>
    </row>
    <row r="40" spans="1:5" ht="18" customHeight="1">
      <c r="A40" s="36" t="s">
        <v>80</v>
      </c>
      <c r="B40" s="34" t="s">
        <v>114</v>
      </c>
      <c r="C40" s="35">
        <f>SUM('Таблица №6'!F262)</f>
        <v>31019.85984</v>
      </c>
      <c r="D40" s="35">
        <f>SUM('Таблица №6'!G262)</f>
        <v>28539.450820000002</v>
      </c>
      <c r="E40" s="87">
        <f t="shared" si="0"/>
        <v>92.00380326412204</v>
      </c>
    </row>
    <row r="41" spans="1:5" ht="15.75" customHeight="1">
      <c r="A41" s="36" t="s">
        <v>81</v>
      </c>
      <c r="B41" s="34" t="s">
        <v>78</v>
      </c>
      <c r="C41" s="35">
        <f>SUM('Таблица №6'!F279)</f>
        <v>493.3</v>
      </c>
      <c r="D41" s="35">
        <f>SUM('Таблица №6'!G279)</f>
        <v>347.48106</v>
      </c>
      <c r="E41" s="87">
        <f t="shared" si="0"/>
        <v>70.44010946685587</v>
      </c>
    </row>
    <row r="42" spans="1:5" ht="20.25" customHeight="1" hidden="1">
      <c r="A42" s="36" t="s">
        <v>82</v>
      </c>
      <c r="B42" s="34" t="s">
        <v>79</v>
      </c>
      <c r="C42" s="35">
        <f>SUM('Таблица №6'!F281)</f>
        <v>0</v>
      </c>
      <c r="D42" s="35">
        <f>SUM('Таблица №6'!G281)</f>
        <v>0</v>
      </c>
      <c r="E42" s="87" t="e">
        <f t="shared" si="0"/>
        <v>#DIV/0!</v>
      </c>
    </row>
    <row r="43" spans="1:5" ht="18" customHeight="1" hidden="1">
      <c r="A43" s="66" t="s">
        <v>206</v>
      </c>
      <c r="B43" s="67" t="s">
        <v>205</v>
      </c>
      <c r="C43" s="68">
        <f>SUM(C44)</f>
        <v>0</v>
      </c>
      <c r="D43" s="68">
        <f>SUM(D44)</f>
        <v>0</v>
      </c>
      <c r="E43" s="87" t="e">
        <f t="shared" si="0"/>
        <v>#DIV/0!</v>
      </c>
    </row>
    <row r="44" spans="1:5" ht="0.75" customHeight="1" hidden="1">
      <c r="A44" s="36" t="s">
        <v>208</v>
      </c>
      <c r="B44" s="34" t="s">
        <v>207</v>
      </c>
      <c r="C44" s="35">
        <f>SUM('Таблица №6'!F286)</f>
        <v>0</v>
      </c>
      <c r="D44" s="35">
        <f>SUM('Таблица №6'!G286)</f>
        <v>0</v>
      </c>
      <c r="E44" s="87" t="e">
        <f t="shared" si="0"/>
        <v>#DIV/0!</v>
      </c>
    </row>
    <row r="45" spans="1:5" ht="18" customHeight="1">
      <c r="A45" s="66">
        <v>1000</v>
      </c>
      <c r="B45" s="67" t="s">
        <v>83</v>
      </c>
      <c r="C45" s="68">
        <f>SUM(C46:C49)</f>
        <v>27129.86401</v>
      </c>
      <c r="D45" s="68">
        <f>SUM(D46:D49)</f>
        <v>18054.51814</v>
      </c>
      <c r="E45" s="86">
        <f t="shared" si="0"/>
        <v>66.54850217216404</v>
      </c>
    </row>
    <row r="46" spans="1:8" ht="18" customHeight="1">
      <c r="A46" s="36">
        <v>1001</v>
      </c>
      <c r="B46" s="34" t="s">
        <v>84</v>
      </c>
      <c r="C46" s="35">
        <f>SUM('Таблица №6'!F291)</f>
        <v>4000</v>
      </c>
      <c r="D46" s="35">
        <f>SUM('Таблица №6'!G291)</f>
        <v>3060.89777</v>
      </c>
      <c r="E46" s="87">
        <f t="shared" si="0"/>
        <v>76.52244424999999</v>
      </c>
      <c r="F46" s="83"/>
      <c r="G46" s="83"/>
      <c r="H46" s="83"/>
    </row>
    <row r="47" spans="1:5" ht="18" customHeight="1">
      <c r="A47" s="36">
        <v>1003</v>
      </c>
      <c r="B47" s="34" t="s">
        <v>87</v>
      </c>
      <c r="C47" s="35">
        <f>SUM('Таблица №6'!F294)</f>
        <v>14192.322</v>
      </c>
      <c r="D47" s="35">
        <f>SUM('Таблица №6'!G294)</f>
        <v>9078.325499999999</v>
      </c>
      <c r="E47" s="87">
        <f t="shared" si="0"/>
        <v>63.96645665170223</v>
      </c>
    </row>
    <row r="48" spans="1:5" ht="18" customHeight="1">
      <c r="A48" s="36">
        <v>1004</v>
      </c>
      <c r="B48" s="34" t="s">
        <v>88</v>
      </c>
      <c r="C48" s="35">
        <f>SUM('Таблица №6'!F307)</f>
        <v>7964.66401</v>
      </c>
      <c r="D48" s="35">
        <f>SUM('Таблица №6'!G307)</f>
        <v>5178.8454</v>
      </c>
      <c r="E48" s="87">
        <f t="shared" si="0"/>
        <v>65.02277300709387</v>
      </c>
    </row>
    <row r="49" spans="1:5" ht="18" customHeight="1">
      <c r="A49" s="36" t="s">
        <v>216</v>
      </c>
      <c r="B49" s="34" t="s">
        <v>217</v>
      </c>
      <c r="C49" s="35">
        <f>SUM('Таблица №6'!F319)</f>
        <v>972.8779999999999</v>
      </c>
      <c r="D49" s="35">
        <f>SUM('Таблица №6'!G319)</f>
        <v>736.44947</v>
      </c>
      <c r="E49" s="87">
        <f t="shared" si="0"/>
        <v>75.69802894093608</v>
      </c>
    </row>
    <row r="50" spans="1:5" ht="17.25" customHeight="1">
      <c r="A50" s="66" t="s">
        <v>132</v>
      </c>
      <c r="B50" s="67" t="s">
        <v>91</v>
      </c>
      <c r="C50" s="68">
        <f>SUM(C51:C53)</f>
        <v>400</v>
      </c>
      <c r="D50" s="68">
        <f>SUM(D51:D53)</f>
        <v>292.8338</v>
      </c>
      <c r="E50" s="86">
        <f t="shared" si="0"/>
        <v>73.20845</v>
      </c>
    </row>
    <row r="51" spans="1:5" ht="18" customHeight="1" hidden="1">
      <c r="A51" s="36" t="s">
        <v>209</v>
      </c>
      <c r="B51" s="34" t="s">
        <v>263</v>
      </c>
      <c r="C51" s="35">
        <f>SUM('Приложение 2'!G326)</f>
        <v>0</v>
      </c>
      <c r="D51" s="35">
        <f>SUM('Приложение 2'!H326)</f>
        <v>0</v>
      </c>
      <c r="E51" s="87" t="e">
        <f t="shared" si="0"/>
        <v>#DIV/0!</v>
      </c>
    </row>
    <row r="52" spans="1:5" ht="15" hidden="1">
      <c r="A52" s="36" t="s">
        <v>258</v>
      </c>
      <c r="B52" s="34" t="s">
        <v>259</v>
      </c>
      <c r="C52" s="35">
        <f>SUM('Приложение 2'!G330)</f>
        <v>0</v>
      </c>
      <c r="D52" s="35">
        <f>SUM('Приложение 2'!H330)</f>
        <v>0</v>
      </c>
      <c r="E52" s="87" t="e">
        <f t="shared" si="0"/>
        <v>#DIV/0!</v>
      </c>
    </row>
    <row r="53" spans="1:5" ht="26.25" customHeight="1">
      <c r="A53" s="36" t="s">
        <v>92</v>
      </c>
      <c r="B53" s="34" t="s">
        <v>210</v>
      </c>
      <c r="C53" s="35">
        <f>SUM('Таблица №6'!F333)</f>
        <v>400</v>
      </c>
      <c r="D53" s="35">
        <f>SUM('Таблица №6'!G333)</f>
        <v>292.8338</v>
      </c>
      <c r="E53" s="87">
        <f t="shared" si="0"/>
        <v>73.20845</v>
      </c>
    </row>
    <row r="54" spans="1:5" ht="18" customHeight="1">
      <c r="A54" s="66" t="s">
        <v>133</v>
      </c>
      <c r="B54" s="67" t="s">
        <v>93</v>
      </c>
      <c r="C54" s="68">
        <f>SUM(C55:C56)</f>
        <v>2147.7</v>
      </c>
      <c r="D54" s="68">
        <f>SUM(D55:D56)</f>
        <v>1847.7</v>
      </c>
      <c r="E54" s="86">
        <f t="shared" si="0"/>
        <v>86.03156865484007</v>
      </c>
    </row>
    <row r="55" spans="1:5" ht="18" customHeight="1" hidden="1">
      <c r="A55" s="36" t="s">
        <v>192</v>
      </c>
      <c r="B55" s="34" t="s">
        <v>191</v>
      </c>
      <c r="C55" s="35">
        <v>0</v>
      </c>
      <c r="D55" s="35">
        <v>0</v>
      </c>
      <c r="E55" s="87" t="e">
        <f t="shared" si="0"/>
        <v>#DIV/0!</v>
      </c>
    </row>
    <row r="56" spans="1:5" ht="18" customHeight="1">
      <c r="A56" s="36" t="s">
        <v>94</v>
      </c>
      <c r="B56" s="34" t="s">
        <v>330</v>
      </c>
      <c r="C56" s="35">
        <f>SUM('Приложение 2'!G338)</f>
        <v>2147.7</v>
      </c>
      <c r="D56" s="35">
        <f>SUM('Приложение 2'!H338)</f>
        <v>1847.7</v>
      </c>
      <c r="E56" s="87">
        <f t="shared" si="0"/>
        <v>86.03156865484007</v>
      </c>
    </row>
    <row r="57" spans="1:5" ht="29.25" customHeight="1">
      <c r="A57" s="66" t="s">
        <v>134</v>
      </c>
      <c r="B57" s="67" t="s">
        <v>331</v>
      </c>
      <c r="C57" s="68">
        <f>SUM(C58:C58)</f>
        <v>1370</v>
      </c>
      <c r="D57" s="68">
        <f>SUM(D58:D58)</f>
        <v>743.17806</v>
      </c>
      <c r="E57" s="86">
        <f t="shared" si="0"/>
        <v>54.24657372262773</v>
      </c>
    </row>
    <row r="58" spans="1:5" ht="30">
      <c r="A58" s="66" t="s">
        <v>95</v>
      </c>
      <c r="B58" s="34" t="s">
        <v>334</v>
      </c>
      <c r="C58" s="35">
        <f>SUM('Таблица №6'!F341)</f>
        <v>1370</v>
      </c>
      <c r="D58" s="35">
        <f>SUM('Таблица №6'!G341)</f>
        <v>743.17806</v>
      </c>
      <c r="E58" s="87">
        <f t="shared" si="0"/>
        <v>54.24657372262773</v>
      </c>
    </row>
    <row r="59" spans="1:5" ht="43.5" customHeight="1">
      <c r="A59" s="66" t="s">
        <v>163</v>
      </c>
      <c r="B59" s="67" t="s">
        <v>332</v>
      </c>
      <c r="C59" s="68">
        <f>SUM(C60:C60)</f>
        <v>21884.85879</v>
      </c>
      <c r="D59" s="68">
        <f>SUM(D60:D60)</f>
        <v>13539.65879</v>
      </c>
      <c r="E59" s="86">
        <f t="shared" si="0"/>
        <v>61.86770003828752</v>
      </c>
    </row>
    <row r="60" spans="1:5" ht="22.5" customHeight="1">
      <c r="A60" s="36" t="s">
        <v>165</v>
      </c>
      <c r="B60" s="34" t="s">
        <v>164</v>
      </c>
      <c r="C60" s="35">
        <f>SUM('Приложение 2'!G348)</f>
        <v>21884.85879</v>
      </c>
      <c r="D60" s="35">
        <f>SUM('Приложение 2'!H348)</f>
        <v>13539.65879</v>
      </c>
      <c r="E60" s="87">
        <f t="shared" si="0"/>
        <v>61.86770003828752</v>
      </c>
    </row>
    <row r="61" spans="1:5" ht="21" customHeight="1">
      <c r="A61" s="69"/>
      <c r="B61" s="70" t="s">
        <v>135</v>
      </c>
      <c r="C61" s="68">
        <f>C9+C19+C21+C24+C28+C31+C33+C39+C45+C50+C54+C57+C59+C43</f>
        <v>505721.5892800001</v>
      </c>
      <c r="D61" s="68">
        <f>D9+D19+D21+D24+D28+D31+D33+D39+D45+D50+D54+D57+D59+D43</f>
        <v>346330.81569000013</v>
      </c>
      <c r="E61" s="86">
        <f t="shared" si="0"/>
        <v>68.48250559820357</v>
      </c>
    </row>
  </sheetData>
  <sheetProtection/>
  <mergeCells count="7">
    <mergeCell ref="B3:E3"/>
    <mergeCell ref="C7:D7"/>
    <mergeCell ref="C1:E1"/>
    <mergeCell ref="C2:E2"/>
    <mergeCell ref="A6:E6"/>
    <mergeCell ref="B4:E4"/>
    <mergeCell ref="B5:E5"/>
  </mergeCells>
  <printOptions/>
  <pageMargins left="0.5118110236220472" right="0" top="0.7480314960629921" bottom="0.15748031496062992" header="0.31496062992125984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350"/>
  <sheetViews>
    <sheetView showGridLines="0" zoomScale="110" zoomScaleNormal="110" zoomScalePageLayoutView="0" workbookViewId="0" topLeftCell="A1">
      <pane ySplit="9" topLeftCell="A342" activePane="bottomLeft" state="frozen"/>
      <selection pane="topLeft" activeCell="A1" sqref="A1"/>
      <selection pane="bottomLeft" activeCell="G355" sqref="G355"/>
    </sheetView>
  </sheetViews>
  <sheetFormatPr defaultColWidth="9.140625" defaultRowHeight="12.75" outlineLevelRow="5"/>
  <cols>
    <col min="1" max="1" width="47.140625" style="5" customWidth="1"/>
    <col min="2" max="2" width="4.57421875" style="9" customWidth="1"/>
    <col min="3" max="3" width="4.140625" style="9" customWidth="1"/>
    <col min="4" max="4" width="3.57421875" style="10" customWidth="1"/>
    <col min="5" max="5" width="5.421875" style="8" customWidth="1"/>
    <col min="6" max="6" width="8.8515625" style="2" customWidth="1"/>
    <col min="7" max="16384" width="9.140625" style="2" customWidth="1"/>
  </cols>
  <sheetData>
    <row r="1" spans="1:8" ht="18.75" customHeight="1">
      <c r="A1" s="46"/>
      <c r="B1" s="47"/>
      <c r="C1" s="48"/>
      <c r="D1" s="48"/>
      <c r="E1" s="48"/>
      <c r="F1" s="106"/>
      <c r="G1" s="106"/>
      <c r="H1" s="106"/>
    </row>
    <row r="2" spans="1:8" ht="12.75" customHeight="1">
      <c r="A2" s="46"/>
      <c r="B2" s="106" t="s">
        <v>137</v>
      </c>
      <c r="C2" s="106"/>
      <c r="D2" s="106"/>
      <c r="E2" s="106"/>
      <c r="F2" s="106"/>
      <c r="G2" s="106"/>
      <c r="H2" s="106"/>
    </row>
    <row r="3" spans="1:8" ht="18.75" customHeight="1">
      <c r="A3" s="46"/>
      <c r="B3" s="47"/>
      <c r="C3" s="47"/>
      <c r="D3" s="49"/>
      <c r="E3" s="106" t="s">
        <v>138</v>
      </c>
      <c r="F3" s="106"/>
      <c r="G3" s="106"/>
      <c r="H3" s="106"/>
    </row>
    <row r="4" spans="1:8" ht="18.75" customHeight="1">
      <c r="A4" s="106" t="s">
        <v>148</v>
      </c>
      <c r="B4" s="106"/>
      <c r="C4" s="106"/>
      <c r="D4" s="106"/>
      <c r="E4" s="106"/>
      <c r="F4" s="106"/>
      <c r="G4" s="106"/>
      <c r="H4" s="106"/>
    </row>
    <row r="5" spans="1:5" ht="15">
      <c r="A5" s="6"/>
      <c r="B5" s="1"/>
      <c r="C5" s="1"/>
      <c r="D5" s="4"/>
      <c r="E5" s="7"/>
    </row>
    <row r="6" spans="1:8" ht="44.25" customHeight="1">
      <c r="A6" s="103" t="s">
        <v>349</v>
      </c>
      <c r="B6" s="103"/>
      <c r="C6" s="103"/>
      <c r="D6" s="103"/>
      <c r="E6" s="103"/>
      <c r="F6" s="103"/>
      <c r="G6" s="103"/>
      <c r="H6" s="103"/>
    </row>
    <row r="7" spans="1:5" ht="7.5" customHeight="1">
      <c r="A7" s="23"/>
      <c r="B7" s="24"/>
      <c r="C7" s="24"/>
      <c r="D7" s="25"/>
      <c r="E7" s="26"/>
    </row>
    <row r="8" spans="1:8" ht="6.75" customHeight="1">
      <c r="A8" s="23"/>
      <c r="B8" s="24"/>
      <c r="C8" s="24"/>
      <c r="D8" s="25"/>
      <c r="E8" s="26"/>
      <c r="F8" s="102"/>
      <c r="G8" s="102"/>
      <c r="H8" s="71" t="s">
        <v>271</v>
      </c>
    </row>
    <row r="9" spans="1:8" ht="87.75" customHeight="1">
      <c r="A9" s="28" t="s">
        <v>1</v>
      </c>
      <c r="B9" s="76" t="s">
        <v>173</v>
      </c>
      <c r="C9" s="82" t="s">
        <v>215</v>
      </c>
      <c r="D9" s="74" t="s">
        <v>8</v>
      </c>
      <c r="E9" s="75" t="s">
        <v>149</v>
      </c>
      <c r="F9" s="27" t="s">
        <v>280</v>
      </c>
      <c r="G9" s="27" t="s">
        <v>347</v>
      </c>
      <c r="H9" s="27" t="s">
        <v>346</v>
      </c>
    </row>
    <row r="10" spans="1:8" s="3" customFormat="1" ht="12.75" outlineLevel="3">
      <c r="A10" s="37" t="str">
        <f>'Приложение 2'!A11</f>
        <v>ОБЩЕГОСУДАРСТВЕННЫЕ ВОПРОСЫ</v>
      </c>
      <c r="B10" s="63" t="str">
        <f>'Приложение 2'!C11</f>
        <v>0100</v>
      </c>
      <c r="C10" s="63"/>
      <c r="D10" s="63"/>
      <c r="E10" s="63"/>
      <c r="F10" s="50">
        <f>SUM(F11+F20+F50+F54+F57+F14+F44+F40)</f>
        <v>86289.13978000001</v>
      </c>
      <c r="G10" s="50">
        <f>SUM(G11+G20+G50+G54+G57+G14+G44+G40)</f>
        <v>70738.43283</v>
      </c>
      <c r="H10" s="50">
        <f>SUM(G10/F10)*100</f>
        <v>81.97837295672713</v>
      </c>
    </row>
    <row r="11" spans="1:8" s="3" customFormat="1" ht="28.5" customHeight="1" outlineLevel="3">
      <c r="A11" s="37" t="str">
        <f>'Приложение 2'!A28</f>
        <v>Функционирование высшего должностного лица субъекта Российской Федерации и муниципального образования</v>
      </c>
      <c r="B11" s="63" t="str">
        <f>'Приложение 2'!C28</f>
        <v>0102</v>
      </c>
      <c r="C11" s="63"/>
      <c r="D11" s="63"/>
      <c r="E11" s="63"/>
      <c r="F11" s="50">
        <f>SUM(F12)</f>
        <v>2129.94572</v>
      </c>
      <c r="G11" s="50">
        <f>SUM(G12)</f>
        <v>1528.09738</v>
      </c>
      <c r="H11" s="50">
        <f aca="true" t="shared" si="0" ref="H11:H74">SUM(G11/F11)*100</f>
        <v>71.74348931295769</v>
      </c>
    </row>
    <row r="12" spans="1:8" s="3" customFormat="1" ht="36" outlineLevel="3">
      <c r="A12" s="37" t="str">
        <f>'Приложение 2'!A29</f>
        <v>Непрограммные направления обеспечения деятельности органов местного самоуправления Алексеевского муниципального района</v>
      </c>
      <c r="B12" s="63" t="str">
        <f>'Приложение 2'!C29</f>
        <v>0102</v>
      </c>
      <c r="C12" s="63" t="s">
        <v>11</v>
      </c>
      <c r="D12" s="63" t="s">
        <v>9</v>
      </c>
      <c r="E12" s="63">
        <v>100</v>
      </c>
      <c r="F12" s="50">
        <f>SUM(F13)</f>
        <v>2129.94572</v>
      </c>
      <c r="G12" s="50">
        <f>SUM(G13)</f>
        <v>1528.09738</v>
      </c>
      <c r="H12" s="50">
        <f t="shared" si="0"/>
        <v>71.74348931295769</v>
      </c>
    </row>
    <row r="13" spans="1:8" ht="48" outlineLevel="1">
      <c r="A13" s="37" t="str">
        <f>'Приложение 2'!A30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3" s="63" t="str">
        <f>'Приложение 2'!C30</f>
        <v>0102</v>
      </c>
      <c r="C13" s="63" t="s">
        <v>11</v>
      </c>
      <c r="D13" s="63">
        <v>0</v>
      </c>
      <c r="E13" s="63">
        <v>100</v>
      </c>
      <c r="F13" s="50">
        <f>SUM('Приложение 2'!G30)</f>
        <v>2129.94572</v>
      </c>
      <c r="G13" s="50">
        <f>SUM('Приложение 2'!H30)</f>
        <v>1528.09738</v>
      </c>
      <c r="H13" s="50">
        <f t="shared" si="0"/>
        <v>71.74348931295769</v>
      </c>
    </row>
    <row r="14" spans="1:8" ht="37.5" customHeight="1" outlineLevel="1">
      <c r="A14" s="37" t="str">
        <f>'Приложение 2'!A12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B14" s="63" t="str">
        <f>'Приложение 2'!C12</f>
        <v>0103</v>
      </c>
      <c r="C14" s="64"/>
      <c r="D14" s="63"/>
      <c r="E14" s="63"/>
      <c r="F14" s="50">
        <f>SUBTOTAL(9,'Приложение 2'!G11)</f>
        <v>543</v>
      </c>
      <c r="G14" s="50">
        <f>SUBTOTAL(9,'Приложение 2'!H11)</f>
        <v>373.39511</v>
      </c>
      <c r="H14" s="50">
        <f t="shared" si="0"/>
        <v>68.76521362799262</v>
      </c>
    </row>
    <row r="15" spans="1:8" ht="24.75" customHeight="1" outlineLevel="1">
      <c r="A15" s="37" t="str">
        <f>'Приложение 2'!A13</f>
        <v>Непрограммные направления обеспечения деятельности органов местного самоуправления Алексеевского муниципального района</v>
      </c>
      <c r="B15" s="63" t="str">
        <f>'Приложение 2'!C13</f>
        <v>0103</v>
      </c>
      <c r="C15" s="64"/>
      <c r="D15" s="63"/>
      <c r="E15" s="63"/>
      <c r="F15" s="50">
        <f>SUBTOTAL(9,'Приложение 2'!G12)</f>
        <v>543</v>
      </c>
      <c r="G15" s="50">
        <f>SUBTOTAL(9,'Приложение 2'!H12)</f>
        <v>373.39511</v>
      </c>
      <c r="H15" s="50">
        <f t="shared" si="0"/>
        <v>68.76521362799262</v>
      </c>
    </row>
    <row r="16" spans="1:8" ht="48" outlineLevel="1">
      <c r="A16" s="37" t="str">
        <f>'Приложение 2'!A14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" s="63" t="str">
        <f>'Приложение 2'!C14</f>
        <v>0103</v>
      </c>
      <c r="C16" s="63" t="str">
        <f>'Приложение 2'!D14</f>
        <v>90</v>
      </c>
      <c r="D16" s="63" t="str">
        <f>'Приложение 2'!E14</f>
        <v>0</v>
      </c>
      <c r="E16" s="63">
        <f>'Приложение 2'!F14</f>
        <v>100</v>
      </c>
      <c r="F16" s="50">
        <f>SUBTOTAL(9,'Приложение 2'!G14)</f>
        <v>481.69986</v>
      </c>
      <c r="G16" s="50">
        <f>SUBTOTAL(9,'Приложение 2'!H14)</f>
        <v>366.89497</v>
      </c>
      <c r="H16" s="50">
        <f t="shared" si="0"/>
        <v>76.16671717529667</v>
      </c>
    </row>
    <row r="17" spans="1:8" ht="24" outlineLevel="1">
      <c r="A17" s="37" t="str">
        <f>'Приложение 2'!A15</f>
        <v>Закупка товаров, работ и услуг для государственных (муниципальных) нужд</v>
      </c>
      <c r="B17" s="63" t="str">
        <f>'Приложение 2'!C15</f>
        <v>0103</v>
      </c>
      <c r="C17" s="63" t="str">
        <f>'Приложение 2'!D15</f>
        <v>90</v>
      </c>
      <c r="D17" s="63">
        <f>'Приложение 2'!E15</f>
        <v>0</v>
      </c>
      <c r="E17" s="63">
        <f>'Приложение 2'!F15</f>
        <v>200</v>
      </c>
      <c r="F17" s="50">
        <f>SUBTOTAL(9,'Приложение 2'!G15)</f>
        <v>61.3</v>
      </c>
      <c r="G17" s="50">
        <f>SUBTOTAL(9,'Приложение 2'!H15)</f>
        <v>6.5</v>
      </c>
      <c r="H17" s="50">
        <f t="shared" si="0"/>
        <v>10.603588907014682</v>
      </c>
    </row>
    <row r="18" spans="1:8" ht="27.75" customHeight="1" hidden="1" outlineLevel="1">
      <c r="A18" s="37" t="str">
        <f>'Приложение 2'!A16</f>
        <v>Непрограммные расходы органов местного самоуправления Алексеевского муниципального района</v>
      </c>
      <c r="B18" s="63" t="str">
        <f>'Приложение 2'!C16</f>
        <v>0103</v>
      </c>
      <c r="C18" s="63" t="str">
        <f>'Приложение 2'!D16</f>
        <v>99</v>
      </c>
      <c r="D18" s="63">
        <f>'Приложение 2'!E16</f>
        <v>0</v>
      </c>
      <c r="E18" s="65"/>
      <c r="F18" s="50">
        <f>SUBTOTAL(9,'Приложение 2'!G16)</f>
        <v>0.00014</v>
      </c>
      <c r="G18" s="50">
        <f>SUBTOTAL(9,'Приложение 2'!H16)</f>
        <v>0.00014</v>
      </c>
      <c r="H18" s="50">
        <f t="shared" si="0"/>
        <v>100</v>
      </c>
    </row>
    <row r="19" spans="1:8" ht="12.75" hidden="1" outlineLevel="1">
      <c r="A19" s="37" t="str">
        <f>'Приложение 2'!A17</f>
        <v>Иные бюджетные ассигнования</v>
      </c>
      <c r="B19" s="63" t="str">
        <f>'Приложение 2'!C17</f>
        <v>0103</v>
      </c>
      <c r="C19" s="63" t="str">
        <f>'Приложение 2'!D17</f>
        <v>99</v>
      </c>
      <c r="D19" s="63">
        <f>'Приложение 2'!E17</f>
        <v>0</v>
      </c>
      <c r="E19" s="63">
        <f>'Приложение 2'!F17</f>
        <v>800</v>
      </c>
      <c r="F19" s="50">
        <f>SUBTOTAL(9,'Приложение 2'!G17)</f>
        <v>0.00014</v>
      </c>
      <c r="G19" s="50">
        <f>SUBTOTAL(9,'Приложение 2'!H17)</f>
        <v>0.00014</v>
      </c>
      <c r="H19" s="50">
        <f t="shared" si="0"/>
        <v>100</v>
      </c>
    </row>
    <row r="20" spans="1:8" ht="36" outlineLevel="2">
      <c r="A20" s="38" t="str">
        <f>'Приложение 2'!A31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20" s="64" t="str">
        <f>'Приложение 2'!C31</f>
        <v>0104</v>
      </c>
      <c r="C20" s="64"/>
      <c r="D20" s="64"/>
      <c r="E20" s="64"/>
      <c r="F20" s="50">
        <f>'Приложение 2'!G31</f>
        <v>36394.554280000004</v>
      </c>
      <c r="G20" s="50">
        <f>'Приложение 2'!H31</f>
        <v>27057.853999999996</v>
      </c>
      <c r="H20" s="50">
        <f t="shared" si="0"/>
        <v>74.34588645276848</v>
      </c>
    </row>
    <row r="21" spans="1:8" s="3" customFormat="1" ht="36" outlineLevel="3">
      <c r="A21" s="38" t="str">
        <f>'Приложение 2'!A32</f>
        <v>Непрограммные направления обеспечения деятельности органов местного самоуправления Алексеевского муниципального района</v>
      </c>
      <c r="B21" s="64" t="str">
        <f>'Приложение 2'!C32</f>
        <v>0104</v>
      </c>
      <c r="C21" s="64" t="str">
        <f>'Приложение 2'!D32</f>
        <v>90</v>
      </c>
      <c r="D21" s="64">
        <f>'Приложение 2'!E32</f>
        <v>0</v>
      </c>
      <c r="E21" s="64"/>
      <c r="F21" s="50">
        <f>'Приложение 2'!G32</f>
        <v>36344.554280000004</v>
      </c>
      <c r="G21" s="50">
        <f>'Приложение 2'!H32</f>
        <v>27055.053999999996</v>
      </c>
      <c r="H21" s="50">
        <f t="shared" si="0"/>
        <v>74.44046167567967</v>
      </c>
    </row>
    <row r="22" spans="1:8" s="3" customFormat="1" ht="12.75" outlineLevel="3">
      <c r="A22" s="38" t="str">
        <f>'Приложение 2'!A33</f>
        <v>Центральный аппарат</v>
      </c>
      <c r="B22" s="64" t="str">
        <f>'Приложение 2'!C33</f>
        <v>0104</v>
      </c>
      <c r="C22" s="64" t="str">
        <f>'Приложение 2'!D33</f>
        <v>90</v>
      </c>
      <c r="D22" s="64">
        <f>'Приложение 2'!E33</f>
        <v>0</v>
      </c>
      <c r="E22" s="64"/>
      <c r="F22" s="50">
        <f>'Приложение 2'!G33</f>
        <v>34451.15428</v>
      </c>
      <c r="G22" s="50">
        <f>'Приложение 2'!H33</f>
        <v>25679.091679999998</v>
      </c>
      <c r="H22" s="50">
        <f t="shared" si="0"/>
        <v>74.53768158620895</v>
      </c>
    </row>
    <row r="23" spans="1:8" s="3" customFormat="1" ht="48" outlineLevel="3">
      <c r="A23" s="38" t="str">
        <f>'Приложение 2'!A34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" s="64" t="str">
        <f>'Приложение 2'!C34</f>
        <v>0104</v>
      </c>
      <c r="C23" s="64" t="str">
        <f>'Приложение 2'!D34</f>
        <v>90</v>
      </c>
      <c r="D23" s="64">
        <f>'Приложение 2'!E34</f>
        <v>0</v>
      </c>
      <c r="E23" s="64">
        <f>'Приложение 2'!F34</f>
        <v>100</v>
      </c>
      <c r="F23" s="50">
        <f>'Приложение 2'!G34</f>
        <v>32651.15428</v>
      </c>
      <c r="G23" s="50">
        <f>'Приложение 2'!H34</f>
        <v>24573.32896</v>
      </c>
      <c r="H23" s="50">
        <f t="shared" si="0"/>
        <v>75.26021514973527</v>
      </c>
    </row>
    <row r="24" spans="1:8" ht="24" outlineLevel="1">
      <c r="A24" s="38" t="str">
        <f>'Приложение 2'!A35</f>
        <v>Закупка товаров, работ и услуг для государственных (муниципальных) нужд</v>
      </c>
      <c r="B24" s="64" t="str">
        <f>'Приложение 2'!C35</f>
        <v>0104</v>
      </c>
      <c r="C24" s="64" t="str">
        <f>'Приложение 2'!D35</f>
        <v>90</v>
      </c>
      <c r="D24" s="64">
        <f>'Приложение 2'!E35</f>
        <v>0</v>
      </c>
      <c r="E24" s="64">
        <f>'Приложение 2'!F35</f>
        <v>200</v>
      </c>
      <c r="F24" s="50">
        <f>'Приложение 2'!G35</f>
        <v>1800</v>
      </c>
      <c r="G24" s="50">
        <f>'Приложение 2'!H35</f>
        <v>1105.76272</v>
      </c>
      <c r="H24" s="50">
        <f t="shared" si="0"/>
        <v>61.431262222222216</v>
      </c>
    </row>
    <row r="25" spans="1:8" ht="36" outlineLevel="2">
      <c r="A25" s="38" t="str">
        <f>'Приложение 2'!A36</f>
        <v>Непрограммные направления обеспечения деятельности органов местного самоуправления Алексеевского муниципального района</v>
      </c>
      <c r="B25" s="64" t="str">
        <f>'Приложение 2'!C36</f>
        <v>0104</v>
      </c>
      <c r="C25" s="64" t="str">
        <f>'Приложение 2'!D36</f>
        <v>90</v>
      </c>
      <c r="D25" s="64" t="str">
        <f>'Приложение 2'!E36</f>
        <v>0</v>
      </c>
      <c r="E25" s="64"/>
      <c r="F25" s="50">
        <f>'Приложение 2'!G36</f>
        <v>1893.3999999999999</v>
      </c>
      <c r="G25" s="50">
        <f>'Приложение 2'!H36</f>
        <v>1375.9623199999999</v>
      </c>
      <c r="H25" s="50">
        <f t="shared" si="0"/>
        <v>72.67150734129079</v>
      </c>
    </row>
    <row r="26" spans="1:8" ht="25.5" customHeight="1" outlineLevel="2">
      <c r="A26" s="38" t="str">
        <f>'Приложение 2'!A37</f>
        <v>За счет субвенции на организационное обеспечение деятельности территориальных административных комиссий</v>
      </c>
      <c r="B26" s="64" t="str">
        <f>'Приложение 2'!C37</f>
        <v>0104</v>
      </c>
      <c r="C26" s="64" t="str">
        <f>'Приложение 2'!D37</f>
        <v>90</v>
      </c>
      <c r="D26" s="64" t="str">
        <f>'Приложение 2'!E37</f>
        <v>0</v>
      </c>
      <c r="E26" s="64"/>
      <c r="F26" s="50">
        <f>'Приложение 2'!G37</f>
        <v>332.4</v>
      </c>
      <c r="G26" s="50">
        <f>'Приложение 2'!H37</f>
        <v>257.05023</v>
      </c>
      <c r="H26" s="50">
        <f t="shared" si="0"/>
        <v>77.3315974729242</v>
      </c>
    </row>
    <row r="27" spans="1:8" ht="48.75" customHeight="1" collapsed="1">
      <c r="A27" s="38" t="str">
        <f>'Приложение 2'!A38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64" t="s">
        <v>40</v>
      </c>
      <c r="C27" s="64" t="s">
        <v>11</v>
      </c>
      <c r="D27" s="62">
        <v>0</v>
      </c>
      <c r="E27" s="63">
        <v>100</v>
      </c>
      <c r="F27" s="50">
        <f>'Приложение 2'!G38</f>
        <v>332.4</v>
      </c>
      <c r="G27" s="50">
        <f>'Приложение 2'!H38</f>
        <v>257.05023</v>
      </c>
      <c r="H27" s="50">
        <f t="shared" si="0"/>
        <v>77.3315974729242</v>
      </c>
    </row>
    <row r="28" spans="1:8" ht="24" hidden="1" outlineLevel="1">
      <c r="A28" s="38" t="str">
        <f>'Приложение 2'!A39</f>
        <v>Закупка товаров, работ и услуг для государственных (муниципальных) нужд</v>
      </c>
      <c r="B28" s="64" t="str">
        <f>'Приложение 2'!C39</f>
        <v>0104</v>
      </c>
      <c r="C28" s="64" t="str">
        <f>'Приложение 2'!D39</f>
        <v>90</v>
      </c>
      <c r="D28" s="64" t="str">
        <f>'Приложение 2'!E39</f>
        <v>0</v>
      </c>
      <c r="E28" s="64">
        <f>'Приложение 2'!F39</f>
        <v>200</v>
      </c>
      <c r="F28" s="50">
        <f>'Приложение 2'!G39</f>
        <v>0</v>
      </c>
      <c r="G28" s="50">
        <f>'Приложение 2'!H39</f>
        <v>0</v>
      </c>
      <c r="H28" s="50" t="e">
        <f t="shared" si="0"/>
        <v>#DIV/0!</v>
      </c>
    </row>
    <row r="29" spans="1:8" ht="25.5" customHeight="1" outlineLevel="2">
      <c r="A29" s="38" t="str">
        <f>'Приложение 2'!A40</f>
        <v>За счет субвенции на организацию и осуществление деятельности по опеке и попечительству</v>
      </c>
      <c r="B29" s="64" t="str">
        <f>'Приложение 2'!C40</f>
        <v>0104</v>
      </c>
      <c r="C29" s="64" t="str">
        <f>'Приложение 2'!D40</f>
        <v>90</v>
      </c>
      <c r="D29" s="64" t="str">
        <f>'Приложение 2'!E40</f>
        <v>0</v>
      </c>
      <c r="E29" s="64"/>
      <c r="F29" s="50">
        <f>'Приложение 2'!G40</f>
        <v>746.4</v>
      </c>
      <c r="G29" s="50">
        <f>'Приложение 2'!H40</f>
        <v>596.89808</v>
      </c>
      <c r="H29" s="50">
        <f t="shared" si="0"/>
        <v>79.97026795284032</v>
      </c>
    </row>
    <row r="30" spans="1:8" ht="48" outlineLevel="1">
      <c r="A30" s="38" t="str">
        <f>'Приложение 2'!A41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0" s="64" t="str">
        <f>'Приложение 2'!C41</f>
        <v>0104</v>
      </c>
      <c r="C30" s="64" t="str">
        <f>'Приложение 2'!D41</f>
        <v>90</v>
      </c>
      <c r="D30" s="64" t="str">
        <f>'Приложение 2'!E41</f>
        <v>0</v>
      </c>
      <c r="E30" s="64">
        <f>'Приложение 2'!F41</f>
        <v>100</v>
      </c>
      <c r="F30" s="50">
        <f>'Приложение 2'!G41</f>
        <v>736.4</v>
      </c>
      <c r="G30" s="50">
        <f>'Приложение 2'!H41</f>
        <v>588.78985</v>
      </c>
      <c r="H30" s="50">
        <f t="shared" si="0"/>
        <v>79.95516702878871</v>
      </c>
    </row>
    <row r="31" spans="1:8" ht="24" outlineLevel="5">
      <c r="A31" s="38" t="str">
        <f>'Приложение 2'!A42</f>
        <v>Закупка товаров, работ и услуг для государственных (муниципальных) нужд</v>
      </c>
      <c r="B31" s="64" t="str">
        <f>'Приложение 2'!C42</f>
        <v>0104</v>
      </c>
      <c r="C31" s="64" t="str">
        <f>'Приложение 2'!D42</f>
        <v>90</v>
      </c>
      <c r="D31" s="64" t="str">
        <f>'Приложение 2'!E42</f>
        <v>0</v>
      </c>
      <c r="E31" s="64">
        <f>'Приложение 2'!F42</f>
        <v>200</v>
      </c>
      <c r="F31" s="50">
        <f>'Приложение 2'!G42</f>
        <v>10</v>
      </c>
      <c r="G31" s="50">
        <f>'Приложение 2'!H42</f>
        <v>8.10823</v>
      </c>
      <c r="H31" s="50">
        <f t="shared" si="0"/>
        <v>81.0823</v>
      </c>
    </row>
    <row r="32" spans="1:8" ht="39.75" customHeight="1" outlineLevel="5">
      <c r="A32" s="38" t="str">
        <f>'Приложение 2'!A43</f>
        <v>За счет субвенции на создание, исполнение функций и обеспечение деятельности муниципальных комиссий по делам несовершеннолетних и защите их прав</v>
      </c>
      <c r="B32" s="64" t="str">
        <f>'Приложение 2'!C43</f>
        <v>0104</v>
      </c>
      <c r="C32" s="64" t="str">
        <f>'Приложение 2'!D43</f>
        <v>90</v>
      </c>
      <c r="D32" s="64" t="str">
        <f>'Приложение 2'!E43</f>
        <v>0</v>
      </c>
      <c r="E32" s="64"/>
      <c r="F32" s="50">
        <f>'Приложение 2'!G43</f>
        <v>351.3</v>
      </c>
      <c r="G32" s="50">
        <f>'Приложение 2'!H43</f>
        <v>261.54281</v>
      </c>
      <c r="H32" s="50">
        <f t="shared" si="0"/>
        <v>74.44998861372045</v>
      </c>
    </row>
    <row r="33" spans="1:8" ht="48" outlineLevel="5">
      <c r="A33" s="38" t="str">
        <f>'Приложение 2'!A44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3" s="64" t="str">
        <f>'Приложение 2'!C44</f>
        <v>0104</v>
      </c>
      <c r="C33" s="64" t="str">
        <f>'Приложение 2'!D44</f>
        <v>90</v>
      </c>
      <c r="D33" s="64" t="str">
        <f>'Приложение 2'!E44</f>
        <v>0</v>
      </c>
      <c r="E33" s="64">
        <f>'Приложение 2'!F44</f>
        <v>100</v>
      </c>
      <c r="F33" s="50">
        <f>'Приложение 2'!G44</f>
        <v>351.3</v>
      </c>
      <c r="G33" s="50">
        <f>'Приложение 2'!H44</f>
        <v>261.54281</v>
      </c>
      <c r="H33" s="50">
        <f t="shared" si="0"/>
        <v>74.44998861372045</v>
      </c>
    </row>
    <row r="34" spans="1:8" ht="24" hidden="1" outlineLevel="2">
      <c r="A34" s="38" t="str">
        <f>'Приложение 2'!A45</f>
        <v>Закупка товаров, работ и услуг для государственных (муниципальных) нужд</v>
      </c>
      <c r="B34" s="64" t="str">
        <f>'Приложение 2'!C45</f>
        <v>0104</v>
      </c>
      <c r="C34" s="64" t="str">
        <f>'Приложение 2'!D45</f>
        <v>90</v>
      </c>
      <c r="D34" s="64" t="str">
        <f>'Приложение 2'!E45</f>
        <v>0</v>
      </c>
      <c r="E34" s="64">
        <f>'Приложение 2'!F45</f>
        <v>200</v>
      </c>
      <c r="F34" s="50">
        <f>'Приложение 2'!G45</f>
        <v>0</v>
      </c>
      <c r="G34" s="50">
        <f>'Приложение 2'!H45</f>
        <v>0</v>
      </c>
      <c r="H34" s="50" t="e">
        <f t="shared" si="0"/>
        <v>#DIV/0!</v>
      </c>
    </row>
    <row r="35" spans="1:8" ht="60" outlineLevel="4">
      <c r="A35" s="38" t="str">
        <f>'Приложение 2'!A46</f>
        <v>За счет субвенции на осуществление государственных полномочий Волгоградской области по хранению, комплектованию, учету и использованию архивных документов и архивных фондов, отнесенных к составу архивного фонда Волгоградской области</v>
      </c>
      <c r="B35" s="64" t="str">
        <f>'Приложение 2'!C46</f>
        <v>0104</v>
      </c>
      <c r="C35" s="64" t="str">
        <f>'Приложение 2'!D46</f>
        <v>90</v>
      </c>
      <c r="D35" s="64" t="str">
        <f>'Приложение 2'!E46</f>
        <v>0</v>
      </c>
      <c r="E35" s="64"/>
      <c r="F35" s="50">
        <f>'Приложение 2'!G46</f>
        <v>463.3</v>
      </c>
      <c r="G35" s="50">
        <f>'Приложение 2'!H46</f>
        <v>260.47119999999995</v>
      </c>
      <c r="H35" s="50">
        <f t="shared" si="0"/>
        <v>56.220850420893576</v>
      </c>
    </row>
    <row r="36" spans="1:8" ht="48" outlineLevel="4">
      <c r="A36" s="38" t="str">
        <f>'Приложение 2'!A47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6" s="64" t="str">
        <f>'Приложение 2'!C47</f>
        <v>0104</v>
      </c>
      <c r="C36" s="64" t="str">
        <f>'Приложение 2'!D47</f>
        <v>90</v>
      </c>
      <c r="D36" s="64" t="str">
        <f>'Приложение 2'!E47</f>
        <v>0</v>
      </c>
      <c r="E36" s="64">
        <f>'Приложение 2'!F47</f>
        <v>100</v>
      </c>
      <c r="F36" s="50">
        <f>'Приложение 2'!G47</f>
        <v>79.25274</v>
      </c>
      <c r="G36" s="50">
        <f>'Приложение 2'!H47</f>
        <v>66.04395</v>
      </c>
      <c r="H36" s="50">
        <f t="shared" si="0"/>
        <v>83.33333333333333</v>
      </c>
    </row>
    <row r="37" spans="1:8" ht="24" outlineLevel="5">
      <c r="A37" s="38" t="str">
        <f>'Приложение 2'!A48</f>
        <v>Закупка товаров, работ и услуг для государственных (муниципальных) нужд</v>
      </c>
      <c r="B37" s="64" t="str">
        <f>'Приложение 2'!C48</f>
        <v>0104</v>
      </c>
      <c r="C37" s="64" t="str">
        <f>'Приложение 2'!D48</f>
        <v>90</v>
      </c>
      <c r="D37" s="64" t="str">
        <f>'Приложение 2'!E48</f>
        <v>0</v>
      </c>
      <c r="E37" s="64">
        <f>'Приложение 2'!F48</f>
        <v>200</v>
      </c>
      <c r="F37" s="50">
        <f>'Приложение 2'!G48</f>
        <v>384.04726</v>
      </c>
      <c r="G37" s="50">
        <f>'Приложение 2'!H48</f>
        <v>194.42725</v>
      </c>
      <c r="H37" s="50">
        <f t="shared" si="0"/>
        <v>50.6258656812185</v>
      </c>
    </row>
    <row r="38" spans="1:8" ht="36" outlineLevel="4">
      <c r="A38" s="38" t="str">
        <f>'Приложение 2'!A49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38" s="64" t="str">
        <f>'Приложение 2'!C49</f>
        <v>0104</v>
      </c>
      <c r="C38" s="64" t="str">
        <f>'Приложение 2'!D49</f>
        <v>01</v>
      </c>
      <c r="D38" s="64">
        <f>'Приложение 2'!E49</f>
        <v>0</v>
      </c>
      <c r="E38" s="64"/>
      <c r="F38" s="50">
        <f>'Приложение 2'!G49</f>
        <v>50</v>
      </c>
      <c r="G38" s="50">
        <f>'Приложение 2'!H49</f>
        <v>2.8</v>
      </c>
      <c r="H38" s="50">
        <f t="shared" si="0"/>
        <v>5.6</v>
      </c>
    </row>
    <row r="39" spans="1:8" ht="27" customHeight="1" outlineLevel="4">
      <c r="A39" s="38" t="str">
        <f>'Приложение 2'!A50</f>
        <v>Закупка товаров, работ и услуг для государственных (муниципальных) нужд</v>
      </c>
      <c r="B39" s="64" t="str">
        <f>'Приложение 2'!C50</f>
        <v>0104</v>
      </c>
      <c r="C39" s="64" t="str">
        <f>'Приложение 2'!D50</f>
        <v>01</v>
      </c>
      <c r="D39" s="64">
        <f>'Приложение 2'!E50</f>
        <v>0</v>
      </c>
      <c r="E39" s="64">
        <f>'Приложение 2'!F50</f>
        <v>200</v>
      </c>
      <c r="F39" s="50">
        <f>'Приложение 2'!G50</f>
        <v>50</v>
      </c>
      <c r="G39" s="50">
        <f>'Приложение 2'!H50</f>
        <v>2.8</v>
      </c>
      <c r="H39" s="50">
        <f t="shared" si="0"/>
        <v>5.6</v>
      </c>
    </row>
    <row r="40" spans="1:8" ht="12.75" outlineLevel="4">
      <c r="A40" s="38" t="str">
        <f>'Приложение 2'!A51</f>
        <v>Судебная система</v>
      </c>
      <c r="B40" s="64" t="str">
        <f>'Приложение 2'!C51</f>
        <v>0105</v>
      </c>
      <c r="C40" s="64"/>
      <c r="D40" s="64"/>
      <c r="E40" s="64"/>
      <c r="F40" s="50">
        <f>'Приложение 2'!G51</f>
        <v>0</v>
      </c>
      <c r="G40" s="50">
        <f>'Приложение 2'!H51</f>
        <v>0</v>
      </c>
      <c r="H40" s="50" t="e">
        <f t="shared" si="0"/>
        <v>#DIV/0!</v>
      </c>
    </row>
    <row r="41" spans="1:8" ht="36" outlineLevel="4">
      <c r="A41" s="38" t="str">
        <f>'Приложение 2'!A52</f>
        <v>Составление (изменение) списков кандидатов в присяжные заседатели федеральных судов общей юрисдикции в Российской Федерации</v>
      </c>
      <c r="B41" s="64" t="str">
        <f>'Приложение 2'!C52</f>
        <v>0105</v>
      </c>
      <c r="C41" s="64" t="str">
        <f>'Приложение 2'!D52</f>
        <v>99</v>
      </c>
      <c r="D41" s="64">
        <f>'Приложение 2'!E52</f>
        <v>0</v>
      </c>
      <c r="E41" s="64"/>
      <c r="F41" s="50">
        <f>'Приложение 2'!G52</f>
        <v>0</v>
      </c>
      <c r="G41" s="50">
        <f>'Приложение 2'!H52</f>
        <v>0</v>
      </c>
      <c r="H41" s="50" t="e">
        <f t="shared" si="0"/>
        <v>#DIV/0!</v>
      </c>
    </row>
    <row r="42" spans="1:8" ht="24" outlineLevel="4">
      <c r="A42" s="38" t="str">
        <f>'Приложение 2'!A53</f>
        <v>Непрограммные расходы органов местного самоуправления Алексеевского муниципального района</v>
      </c>
      <c r="B42" s="64" t="str">
        <f>'Приложение 2'!C53</f>
        <v>0105</v>
      </c>
      <c r="C42" s="64" t="str">
        <f>'Приложение 2'!D53</f>
        <v>99</v>
      </c>
      <c r="D42" s="64">
        <f>'Приложение 2'!E53</f>
        <v>0</v>
      </c>
      <c r="E42" s="64"/>
      <c r="F42" s="50">
        <f>'Приложение 2'!G53</f>
        <v>0</v>
      </c>
      <c r="G42" s="50">
        <f>'Приложение 2'!H53</f>
        <v>0</v>
      </c>
      <c r="H42" s="50" t="e">
        <f t="shared" si="0"/>
        <v>#DIV/0!</v>
      </c>
    </row>
    <row r="43" spans="1:8" ht="24" outlineLevel="4">
      <c r="A43" s="38" t="str">
        <f>'Приложение 2'!A54</f>
        <v>Закупка товаров, работ и услуг для государственных (муниципальных) нужд</v>
      </c>
      <c r="B43" s="64" t="str">
        <f>'Приложение 2'!C54</f>
        <v>0105</v>
      </c>
      <c r="C43" s="64" t="str">
        <f>'Приложение 2'!D54</f>
        <v>99</v>
      </c>
      <c r="D43" s="64">
        <f>'Приложение 2'!E54</f>
        <v>0</v>
      </c>
      <c r="E43" s="64">
        <f>'Приложение 2'!F54</f>
        <v>200</v>
      </c>
      <c r="F43" s="50">
        <f>'Приложение 2'!G54</f>
        <v>0</v>
      </c>
      <c r="G43" s="50">
        <f>'Приложение 2'!H54</f>
        <v>0</v>
      </c>
      <c r="H43" s="50" t="e">
        <f t="shared" si="0"/>
        <v>#DIV/0!</v>
      </c>
    </row>
    <row r="44" spans="1:8" ht="36" outlineLevel="2">
      <c r="A44" s="37" t="str">
        <f>'Приложение 2'!A20</f>
        <v>Обеспечение деятельности финансовых, налоговых и таможенных органов и органов финансового (финансово-бюджетного) надзора</v>
      </c>
      <c r="B44" s="64" t="str">
        <f>'Приложение 2'!C20</f>
        <v>0106</v>
      </c>
      <c r="C44" s="64"/>
      <c r="D44" s="64"/>
      <c r="E44" s="64"/>
      <c r="F44" s="50">
        <f>'Приложение 2'!G19</f>
        <v>1713.3</v>
      </c>
      <c r="G44" s="50">
        <f>'Приложение 2'!H19</f>
        <v>1277.96389</v>
      </c>
      <c r="H44" s="50">
        <f t="shared" si="0"/>
        <v>74.59078328372148</v>
      </c>
    </row>
    <row r="45" spans="1:8" ht="36" outlineLevel="2">
      <c r="A45" s="37" t="str">
        <f>'Приложение 2'!A21</f>
        <v>Непрограммные направления обеспечения деятельности органов местного самоуправления Алексеевского муниципального района</v>
      </c>
      <c r="B45" s="64" t="str">
        <f>'Приложение 2'!C21</f>
        <v>0106</v>
      </c>
      <c r="C45" s="64" t="str">
        <f>'Приложение 2'!D21</f>
        <v>90</v>
      </c>
      <c r="D45" s="64" t="str">
        <f>'Приложение 2'!E21</f>
        <v>0</v>
      </c>
      <c r="E45" s="64"/>
      <c r="F45" s="50">
        <f>'Приложение 2'!G20</f>
        <v>1713.3</v>
      </c>
      <c r="G45" s="50">
        <f>'Приложение 2'!H20</f>
        <v>1277.96389</v>
      </c>
      <c r="H45" s="50">
        <f t="shared" si="0"/>
        <v>74.59078328372148</v>
      </c>
    </row>
    <row r="46" spans="1:8" ht="48" outlineLevel="2">
      <c r="A46" s="37" t="str">
        <f>'Приложение 2'!A22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6" s="64" t="str">
        <f>'Приложение 2'!C22</f>
        <v>0106</v>
      </c>
      <c r="C46" s="64" t="str">
        <f>'Приложение 2'!D22</f>
        <v>90</v>
      </c>
      <c r="D46" s="64" t="str">
        <f>'Приложение 2'!E22</f>
        <v>0</v>
      </c>
      <c r="E46" s="64">
        <f>'Приложение 2'!F22</f>
        <v>100</v>
      </c>
      <c r="F46" s="50">
        <f>'Приложение 2'!G22</f>
        <v>1688.27619</v>
      </c>
      <c r="G46" s="50">
        <f>'Приложение 2'!H22</f>
        <v>1272.94008</v>
      </c>
      <c r="H46" s="50">
        <f t="shared" si="0"/>
        <v>75.39880545256045</v>
      </c>
    </row>
    <row r="47" spans="1:8" ht="24" outlineLevel="2">
      <c r="A47" s="37" t="str">
        <f>'Приложение 2'!A23</f>
        <v>Закупка товаров, работ и услуг для государственных (муниципальных) нужд</v>
      </c>
      <c r="B47" s="64" t="str">
        <f>'Приложение 2'!C23</f>
        <v>0106</v>
      </c>
      <c r="C47" s="64" t="str">
        <f>'Приложение 2'!D23</f>
        <v>90</v>
      </c>
      <c r="D47" s="64">
        <f>'Приложение 2'!E23</f>
        <v>0</v>
      </c>
      <c r="E47" s="64">
        <f>'Приложение 2'!F23</f>
        <v>200</v>
      </c>
      <c r="F47" s="50">
        <f>'Приложение 2'!G23</f>
        <v>20</v>
      </c>
      <c r="G47" s="50">
        <f>'Приложение 2'!H23</f>
        <v>0</v>
      </c>
      <c r="H47" s="50">
        <f t="shared" si="0"/>
        <v>0</v>
      </c>
    </row>
    <row r="48" spans="1:8" ht="28.5" customHeight="1" outlineLevel="2">
      <c r="A48" s="37" t="str">
        <f>'Приложение 2'!A24</f>
        <v>Непрограммные расходы органов местного самоуправления Алексеевского муниципального района</v>
      </c>
      <c r="B48" s="64" t="str">
        <f>'Приложение 2'!C24</f>
        <v>0106</v>
      </c>
      <c r="C48" s="64" t="str">
        <f>'Приложение 2'!D24</f>
        <v>99</v>
      </c>
      <c r="D48" s="64">
        <f>'Приложение 2'!E24</f>
        <v>0</v>
      </c>
      <c r="E48" s="64"/>
      <c r="F48" s="50">
        <f>'Приложение 2'!G24</f>
        <v>5.02381</v>
      </c>
      <c r="G48" s="50">
        <f>'Приложение 2'!H24</f>
        <v>5.02381</v>
      </c>
      <c r="H48" s="50">
        <f t="shared" si="0"/>
        <v>100</v>
      </c>
    </row>
    <row r="49" spans="1:8" ht="12.75" outlineLevel="2">
      <c r="A49" s="37" t="str">
        <f>'Приложение 2'!A25</f>
        <v>Иные бюджетные ассигнования</v>
      </c>
      <c r="B49" s="64" t="str">
        <f>'Приложение 2'!C25</f>
        <v>0106</v>
      </c>
      <c r="C49" s="64" t="str">
        <f>'Приложение 2'!D25</f>
        <v>99</v>
      </c>
      <c r="D49" s="64">
        <f>'Приложение 2'!E25</f>
        <v>0</v>
      </c>
      <c r="E49" s="64">
        <f>'Приложение 2'!F25</f>
        <v>800</v>
      </c>
      <c r="F49" s="50">
        <f>'Приложение 2'!G25</f>
        <v>5.02381</v>
      </c>
      <c r="G49" s="50">
        <f>'Приложение 2'!H25</f>
        <v>5.02381</v>
      </c>
      <c r="H49" s="50">
        <f t="shared" si="0"/>
        <v>100</v>
      </c>
    </row>
    <row r="50" spans="1:8" ht="1.5" customHeight="1" hidden="1" outlineLevel="2">
      <c r="A50" s="37" t="str">
        <f>'Приложение 2'!A55</f>
        <v>Обеспечение проведения выборов и референдумов</v>
      </c>
      <c r="B50" s="64" t="str">
        <f>'Приложение 2'!C55</f>
        <v>0107</v>
      </c>
      <c r="C50" s="64"/>
      <c r="D50" s="64"/>
      <c r="E50" s="64"/>
      <c r="F50" s="50">
        <f>'Приложение 2'!G55</f>
        <v>0</v>
      </c>
      <c r="G50" s="50">
        <f>'Приложение 2'!H55</f>
        <v>0</v>
      </c>
      <c r="H50" s="50" t="e">
        <f t="shared" si="0"/>
        <v>#DIV/0!</v>
      </c>
    </row>
    <row r="51" spans="1:8" ht="0.75" customHeight="1" hidden="1" outlineLevel="2">
      <c r="A51" s="37" t="str">
        <f>'Приложение 2'!A56</f>
        <v>Проведение выборов и референдумов</v>
      </c>
      <c r="B51" s="64" t="str">
        <f>'Приложение 2'!C56</f>
        <v>0107</v>
      </c>
      <c r="C51" s="64" t="str">
        <f>'Приложение 2'!D56</f>
        <v>99</v>
      </c>
      <c r="D51" s="64" t="str">
        <f>'Приложение 2'!E56</f>
        <v>0</v>
      </c>
      <c r="E51" s="64"/>
      <c r="F51" s="50">
        <f>'Приложение 2'!G56</f>
        <v>0</v>
      </c>
      <c r="G51" s="50">
        <f>'Приложение 2'!H56</f>
        <v>0</v>
      </c>
      <c r="H51" s="50" t="e">
        <f t="shared" si="0"/>
        <v>#DIV/0!</v>
      </c>
    </row>
    <row r="52" spans="1:8" ht="30" customHeight="1" hidden="1" outlineLevel="5">
      <c r="A52" s="37" t="str">
        <f>'Приложение 2'!A57</f>
        <v>Непрограммные расходы органов местного самоуправления Алексеевского муниципального района</v>
      </c>
      <c r="B52" s="64" t="str">
        <f>'Приложение 2'!C57</f>
        <v>0107</v>
      </c>
      <c r="C52" s="64" t="str">
        <f>'Приложение 2'!D57</f>
        <v>99</v>
      </c>
      <c r="D52" s="64" t="str">
        <f>'Приложение 2'!E57</f>
        <v>0</v>
      </c>
      <c r="E52" s="64"/>
      <c r="F52" s="50">
        <f>'Приложение 2'!G57</f>
        <v>0</v>
      </c>
      <c r="G52" s="50">
        <f>'Приложение 2'!H57</f>
        <v>0</v>
      </c>
      <c r="H52" s="50" t="e">
        <f t="shared" si="0"/>
        <v>#DIV/0!</v>
      </c>
    </row>
    <row r="53" spans="1:8" ht="24" hidden="1" outlineLevel="5">
      <c r="A53" s="37" t="str">
        <f>'Приложение 2'!A58</f>
        <v>Закупка товаров, работ и услуг для государственных (муниципальных) нужд</v>
      </c>
      <c r="B53" s="64" t="str">
        <f>'Приложение 2'!C58</f>
        <v>0107</v>
      </c>
      <c r="C53" s="64" t="str">
        <f>'Приложение 2'!D58</f>
        <v>99</v>
      </c>
      <c r="D53" s="64">
        <f>'Приложение 2'!E58</f>
        <v>0</v>
      </c>
      <c r="E53" s="64">
        <f>'Приложение 2'!F58</f>
        <v>200</v>
      </c>
      <c r="F53" s="50">
        <f>'Приложение 2'!G58</f>
        <v>0</v>
      </c>
      <c r="G53" s="50">
        <f>'Приложение 2'!H58</f>
        <v>0</v>
      </c>
      <c r="H53" s="50" t="e">
        <f t="shared" si="0"/>
        <v>#DIV/0!</v>
      </c>
    </row>
    <row r="54" spans="1:8" ht="12.75" outlineLevel="5">
      <c r="A54" s="37" t="str">
        <f>'Приложение 2'!A59</f>
        <v>Резервные фонды</v>
      </c>
      <c r="B54" s="64" t="str">
        <f>'Приложение 2'!C59</f>
        <v>0111</v>
      </c>
      <c r="C54" s="64"/>
      <c r="D54" s="64"/>
      <c r="E54" s="64"/>
      <c r="F54" s="50">
        <f>'Приложение 2'!G59</f>
        <v>320</v>
      </c>
      <c r="G54" s="50">
        <f>'Приложение 2'!H59</f>
        <v>0</v>
      </c>
      <c r="H54" s="50">
        <f t="shared" si="0"/>
        <v>0</v>
      </c>
    </row>
    <row r="55" spans="1:8" ht="28.5" customHeight="1" outlineLevel="1">
      <c r="A55" s="37" t="str">
        <f>'Приложение 2'!A60</f>
        <v>Непрограммные расходы органов местного самоуправления Алексеевского муниципального района</v>
      </c>
      <c r="B55" s="64" t="str">
        <f>'Приложение 2'!C60</f>
        <v>0111</v>
      </c>
      <c r="C55" s="64" t="str">
        <f>'Приложение 2'!D60</f>
        <v>99</v>
      </c>
      <c r="D55" s="64" t="str">
        <f>'Приложение 2'!E60</f>
        <v>0</v>
      </c>
      <c r="E55" s="64"/>
      <c r="F55" s="50">
        <f>'Приложение 2'!G60</f>
        <v>320</v>
      </c>
      <c r="G55" s="50">
        <f>'Приложение 2'!H60</f>
        <v>0</v>
      </c>
      <c r="H55" s="50">
        <f t="shared" si="0"/>
        <v>0</v>
      </c>
    </row>
    <row r="56" spans="1:8" ht="17.25" customHeight="1" outlineLevel="2">
      <c r="A56" s="37" t="str">
        <f>'Приложение 2'!A61</f>
        <v>Иные бюджетные ассигнования</v>
      </c>
      <c r="B56" s="64" t="str">
        <f>'Приложение 2'!C61</f>
        <v>0111</v>
      </c>
      <c r="C56" s="64" t="str">
        <f>'Приложение 2'!D61</f>
        <v>99</v>
      </c>
      <c r="D56" s="64" t="str">
        <f>'Приложение 2'!E61</f>
        <v>0</v>
      </c>
      <c r="E56" s="64">
        <f>'Приложение 2'!F61</f>
        <v>800</v>
      </c>
      <c r="F56" s="50">
        <f>'Приложение 2'!G61</f>
        <v>320</v>
      </c>
      <c r="G56" s="50">
        <f>'Приложение 2'!H61</f>
        <v>0</v>
      </c>
      <c r="H56" s="50">
        <f t="shared" si="0"/>
        <v>0</v>
      </c>
    </row>
    <row r="57" spans="1:8" ht="15" customHeight="1" outlineLevel="2">
      <c r="A57" s="37" t="str">
        <f>'Приложение 2'!A62</f>
        <v>Другие общегосударственные вопросы</v>
      </c>
      <c r="B57" s="64" t="str">
        <f>'Приложение 2'!C62</f>
        <v>0113</v>
      </c>
      <c r="C57" s="64"/>
      <c r="D57" s="64"/>
      <c r="E57" s="64"/>
      <c r="F57" s="50">
        <f>'Приложение 2'!G62</f>
        <v>45188.33978000001</v>
      </c>
      <c r="G57" s="50">
        <f>'Приложение 2'!H62</f>
        <v>40501.12245000001</v>
      </c>
      <c r="H57" s="50">
        <f t="shared" si="0"/>
        <v>89.62737433413183</v>
      </c>
    </row>
    <row r="58" spans="1:8" ht="36" outlineLevel="2">
      <c r="A58" s="37" t="str">
        <f>'Приложение 2'!A63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58" s="64" t="str">
        <f>'Приложение 2'!C63</f>
        <v>0113</v>
      </c>
      <c r="C58" s="64" t="str">
        <f>'Приложение 2'!D63</f>
        <v>02</v>
      </c>
      <c r="D58" s="64">
        <f>'Приложение 2'!E63</f>
        <v>0</v>
      </c>
      <c r="E58" s="64"/>
      <c r="F58" s="50">
        <f>'Приложение 2'!G63</f>
        <v>2191.406</v>
      </c>
      <c r="G58" s="50">
        <f>'Приложение 2'!H63</f>
        <v>2191.406</v>
      </c>
      <c r="H58" s="50">
        <f t="shared" si="0"/>
        <v>100</v>
      </c>
    </row>
    <row r="59" spans="1:8" ht="36" outlineLevel="2">
      <c r="A59" s="37" t="str">
        <f>'Приложение 2'!A64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59" s="64" t="str">
        <f>'Приложение 2'!C64</f>
        <v>0113</v>
      </c>
      <c r="C59" s="64" t="str">
        <f>'Приложение 2'!D64</f>
        <v>02</v>
      </c>
      <c r="D59" s="64">
        <f>'Приложение 2'!E64</f>
        <v>3</v>
      </c>
      <c r="E59" s="64"/>
      <c r="F59" s="50">
        <f>'Приложение 2'!G64</f>
        <v>1741.178</v>
      </c>
      <c r="G59" s="50">
        <f>'Приложение 2'!H64</f>
        <v>1741.178</v>
      </c>
      <c r="H59" s="50">
        <f t="shared" si="0"/>
        <v>100</v>
      </c>
    </row>
    <row r="60" spans="1:8" ht="24" outlineLevel="2">
      <c r="A60" s="37" t="str">
        <f>'Приложение 2'!A65</f>
        <v>Предоставление субсидий бюджетным, автономным учреждениям и иным некоммерческим организациям</v>
      </c>
      <c r="B60" s="64" t="str">
        <f>'Приложение 2'!C65</f>
        <v>0113</v>
      </c>
      <c r="C60" s="64" t="str">
        <f>'Приложение 2'!D65</f>
        <v>02</v>
      </c>
      <c r="D60" s="64">
        <f>'Приложение 2'!E65</f>
        <v>3</v>
      </c>
      <c r="E60" s="64" t="s">
        <v>168</v>
      </c>
      <c r="F60" s="50">
        <f>'Приложение 2'!G65</f>
        <v>1741.178</v>
      </c>
      <c r="G60" s="50">
        <f>'Приложение 2'!H65</f>
        <v>1741.178</v>
      </c>
      <c r="H60" s="50">
        <f t="shared" si="0"/>
        <v>100</v>
      </c>
    </row>
    <row r="61" spans="1:8" ht="36.75" customHeight="1" outlineLevel="2">
      <c r="A61" s="37" t="str">
        <f>'Приложение 2'!A66</f>
        <v>Подпрограмма "Энергосбережение и повышение энергетической эффективности Алексеевского муниципального района"</v>
      </c>
      <c r="B61" s="64" t="str">
        <f>'Приложение 2'!C66</f>
        <v>0113</v>
      </c>
      <c r="C61" s="64" t="str">
        <f>'Приложение 2'!D66</f>
        <v>02</v>
      </c>
      <c r="D61" s="64">
        <f>'Приложение 2'!E66</f>
        <v>4</v>
      </c>
      <c r="E61" s="64"/>
      <c r="F61" s="50">
        <f>'Приложение 2'!G66</f>
        <v>450.228</v>
      </c>
      <c r="G61" s="50">
        <f>'Приложение 2'!H66</f>
        <v>450.228</v>
      </c>
      <c r="H61" s="50">
        <f t="shared" si="0"/>
        <v>100</v>
      </c>
    </row>
    <row r="62" spans="1:8" ht="27" customHeight="1" outlineLevel="2">
      <c r="A62" s="37" t="str">
        <f>'Приложение 2'!A67</f>
        <v>Предоставление субсидий бюджетным, автономным учреждениям и иным некоммерческим организациям</v>
      </c>
      <c r="B62" s="64" t="str">
        <f>'Приложение 2'!C67</f>
        <v>0113</v>
      </c>
      <c r="C62" s="64" t="str">
        <f>'Приложение 2'!D67</f>
        <v>02</v>
      </c>
      <c r="D62" s="64">
        <f>'Приложение 2'!E67</f>
        <v>4</v>
      </c>
      <c r="E62" s="64">
        <f>'Приложение 2'!F67</f>
        <v>600</v>
      </c>
      <c r="F62" s="50">
        <f>'Приложение 2'!G67</f>
        <v>450.228</v>
      </c>
      <c r="G62" s="50">
        <f>'Приложение 2'!H67</f>
        <v>450.228</v>
      </c>
      <c r="H62" s="50">
        <f t="shared" si="0"/>
        <v>100</v>
      </c>
    </row>
    <row r="63" spans="1:8" ht="55.5" customHeight="1" outlineLevel="2">
      <c r="A63" s="37" t="str">
        <f>'Приложение 2'!A68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2023-2028 годы "</v>
      </c>
      <c r="B63" s="64" t="str">
        <f>'Приложение 2'!C68</f>
        <v>0113</v>
      </c>
      <c r="C63" s="64" t="str">
        <f>'Приложение 2'!D68</f>
        <v>07</v>
      </c>
      <c r="D63" s="64">
        <f>'Приложение 2'!E68</f>
        <v>0</v>
      </c>
      <c r="E63" s="64"/>
      <c r="F63" s="50">
        <f>'Приложение 2'!G68</f>
        <v>10.5</v>
      </c>
      <c r="G63" s="50">
        <f>'Приложение 2'!H68</f>
        <v>0</v>
      </c>
      <c r="H63" s="50">
        <f t="shared" si="0"/>
        <v>0</v>
      </c>
    </row>
    <row r="64" spans="1:8" ht="29.25" customHeight="1" outlineLevel="2">
      <c r="A64" s="37" t="str">
        <f>'Приложение 2'!A69</f>
        <v>Подпрограмма "Реализация мероприятий молодежной политики и социальной адаптации молодежи "</v>
      </c>
      <c r="B64" s="64" t="str">
        <f>'Приложение 2'!C69</f>
        <v>0113</v>
      </c>
      <c r="C64" s="64" t="str">
        <f>'Приложение 2'!D69</f>
        <v>07</v>
      </c>
      <c r="D64" s="64">
        <f>'Приложение 2'!E69</f>
        <v>2</v>
      </c>
      <c r="E64" s="64">
        <f>'Приложение 2'!F69</f>
        <v>0</v>
      </c>
      <c r="F64" s="50">
        <f>'Приложение 2'!G69</f>
        <v>10.5</v>
      </c>
      <c r="G64" s="50">
        <f>'Приложение 2'!H69</f>
        <v>0</v>
      </c>
      <c r="H64" s="50">
        <f t="shared" si="0"/>
        <v>0</v>
      </c>
    </row>
    <row r="65" spans="1:8" ht="74.25" customHeight="1" outlineLevel="2">
      <c r="A65" s="37" t="str">
        <f>'Приложение 2'!A70</f>
        <v>Закупка товаров, работ и услуг для государственных (муниципальных) нужд (Субвенция на осуществление органами местного самоуправления Волгоградской области государственных полномочий 
по контролю за проведением поисковой работы на территории Волгоградской области )</v>
      </c>
      <c r="B65" s="64" t="str">
        <f>'Приложение 2'!C70</f>
        <v>0113</v>
      </c>
      <c r="C65" s="64" t="str">
        <f>'Приложение 2'!D70</f>
        <v>07</v>
      </c>
      <c r="D65" s="64">
        <f>'Приложение 2'!E70</f>
        <v>2</v>
      </c>
      <c r="E65" s="64">
        <f>'Приложение 2'!F70</f>
        <v>200</v>
      </c>
      <c r="F65" s="50">
        <f>'Приложение 2'!G70</f>
        <v>10.5</v>
      </c>
      <c r="G65" s="50">
        <f>'Приложение 2'!H70</f>
        <v>0</v>
      </c>
      <c r="H65" s="50">
        <f t="shared" si="0"/>
        <v>0</v>
      </c>
    </row>
    <row r="66" spans="1:8" ht="21.75" customHeight="1" outlineLevel="2">
      <c r="A66" s="37" t="str">
        <f>'Приложение 2'!A71</f>
        <v>Муниципальная программа "Маршрут Победы на 2019-2023 годы"</v>
      </c>
      <c r="B66" s="64" t="str">
        <f>'Приложение 2'!C71</f>
        <v>0113</v>
      </c>
      <c r="C66" s="64" t="str">
        <f>'Приложение 2'!D71</f>
        <v>15</v>
      </c>
      <c r="D66" s="64">
        <f>'Приложение 2'!E71</f>
        <v>0</v>
      </c>
      <c r="E66" s="64"/>
      <c r="F66" s="50">
        <f>'Приложение 2'!G71</f>
        <v>116.186</v>
      </c>
      <c r="G66" s="50">
        <f>'Приложение 2'!H71</f>
        <v>100.686</v>
      </c>
      <c r="H66" s="50">
        <f t="shared" si="0"/>
        <v>86.65932212142599</v>
      </c>
    </row>
    <row r="67" spans="1:8" ht="24" outlineLevel="2">
      <c r="A67" s="37" t="str">
        <f>'Приложение 2'!A72</f>
        <v>Закупка товаров, работ и услуг для государственных (муниципальных) нужд</v>
      </c>
      <c r="B67" s="64" t="str">
        <f>'Приложение 2'!C72</f>
        <v>0113</v>
      </c>
      <c r="C67" s="64" t="str">
        <f>'Приложение 2'!D72</f>
        <v>15</v>
      </c>
      <c r="D67" s="64">
        <f>'Приложение 2'!E72</f>
        <v>0</v>
      </c>
      <c r="E67" s="64">
        <f>'Приложение 2'!F72</f>
        <v>200</v>
      </c>
      <c r="F67" s="50">
        <f>'Приложение 2'!G72</f>
        <v>100.686</v>
      </c>
      <c r="G67" s="50">
        <f>'Приложение 2'!H72</f>
        <v>100.686</v>
      </c>
      <c r="H67" s="50">
        <f t="shared" si="0"/>
        <v>100</v>
      </c>
    </row>
    <row r="68" spans="1:8" ht="87.75" customHeight="1" outlineLevel="2">
      <c r="A68" s="37" t="str">
        <f>'Приложение 2'!A73</f>
        <v>Субвенции бюджетам муниципальных районов и городских округов Волгоградской области на осуществление органами местного самоуправления Волгоградской области государственных полномочий  по увековечению памяти погибших при защите Отечества на территории Волгоградской области на 2023 год и на плановый период                                                2024 и 2025 годов</v>
      </c>
      <c r="B68" s="64" t="str">
        <f>'Приложение 2'!C73</f>
        <v>0113</v>
      </c>
      <c r="C68" s="64" t="str">
        <f>'Приложение 2'!D73</f>
        <v>15</v>
      </c>
      <c r="D68" s="64">
        <f>'Приложение 2'!E73</f>
        <v>0</v>
      </c>
      <c r="E68" s="64">
        <f>'Приложение 2'!F73</f>
        <v>200</v>
      </c>
      <c r="F68" s="50">
        <f>'Приложение 2'!G73</f>
        <v>15.5</v>
      </c>
      <c r="G68" s="50">
        <f>'Приложение 2'!H73</f>
        <v>0</v>
      </c>
      <c r="H68" s="50">
        <f t="shared" si="0"/>
        <v>0</v>
      </c>
    </row>
    <row r="69" spans="1:8" ht="39" customHeight="1" outlineLevel="2">
      <c r="A69" s="37" t="str">
        <f>'Приложение 2'!A74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69" s="64" t="str">
        <f>'Приложение 2'!C74</f>
        <v>0113</v>
      </c>
      <c r="C69" s="64" t="str">
        <f>'Приложение 2'!D74</f>
        <v>20</v>
      </c>
      <c r="D69" s="64">
        <f>'Приложение 2'!E74</f>
        <v>0</v>
      </c>
      <c r="E69" s="64"/>
      <c r="F69" s="50">
        <f>'Приложение 2'!G74</f>
        <v>20</v>
      </c>
      <c r="G69" s="50">
        <f>'Приложение 2'!H74</f>
        <v>0</v>
      </c>
      <c r="H69" s="50">
        <f t="shared" si="0"/>
        <v>0</v>
      </c>
    </row>
    <row r="70" spans="1:8" ht="19.5" customHeight="1" outlineLevel="2">
      <c r="A70" s="37" t="str">
        <f>'Приложение 2'!A75</f>
        <v>Подпрограмма "Профилактика правонарушений"</v>
      </c>
      <c r="B70" s="64" t="str">
        <f>'Приложение 2'!C75</f>
        <v>0113</v>
      </c>
      <c r="C70" s="64" t="str">
        <f>'Приложение 2'!D75</f>
        <v>20</v>
      </c>
      <c r="D70" s="64">
        <f>'Приложение 2'!E75</f>
        <v>1</v>
      </c>
      <c r="E70" s="64"/>
      <c r="F70" s="50">
        <f>'Приложение 2'!G75</f>
        <v>10</v>
      </c>
      <c r="G70" s="50">
        <f>'Приложение 2'!H75</f>
        <v>0</v>
      </c>
      <c r="H70" s="50">
        <f t="shared" si="0"/>
        <v>0</v>
      </c>
    </row>
    <row r="71" spans="1:8" ht="24" outlineLevel="2">
      <c r="A71" s="37" t="str">
        <f>'Приложение 2'!A76</f>
        <v>Закупка товаров, работ и услуг для государственных (муниципальных) нужд</v>
      </c>
      <c r="B71" s="64" t="str">
        <f>'Приложение 2'!C76</f>
        <v>0113</v>
      </c>
      <c r="C71" s="64" t="str">
        <f>'Приложение 2'!D76</f>
        <v>20</v>
      </c>
      <c r="D71" s="64">
        <f>'Приложение 2'!E76</f>
        <v>1</v>
      </c>
      <c r="E71" s="64">
        <f>'Приложение 2'!F76</f>
        <v>200</v>
      </c>
      <c r="F71" s="50">
        <f>'Приложение 2'!G76</f>
        <v>10</v>
      </c>
      <c r="G71" s="50">
        <f>'Приложение 2'!H76</f>
        <v>0</v>
      </c>
      <c r="H71" s="50">
        <f t="shared" si="0"/>
        <v>0</v>
      </c>
    </row>
    <row r="72" spans="1:8" ht="24" outlineLevel="2">
      <c r="A72" s="37" t="str">
        <f>'Приложение 2'!A77</f>
        <v>Подпрограмма "Формирование законопослушного поведения участников дорожного движения"</v>
      </c>
      <c r="B72" s="64" t="str">
        <f>'Приложение 2'!C77</f>
        <v>0113</v>
      </c>
      <c r="C72" s="64" t="str">
        <f>'Приложение 2'!D77</f>
        <v>20</v>
      </c>
      <c r="D72" s="64">
        <f>'Приложение 2'!E77</f>
        <v>2</v>
      </c>
      <c r="E72" s="64"/>
      <c r="F72" s="50">
        <f>'Приложение 2'!G77</f>
        <v>10</v>
      </c>
      <c r="G72" s="50">
        <f>'Приложение 2'!H77</f>
        <v>0</v>
      </c>
      <c r="H72" s="50">
        <f t="shared" si="0"/>
        <v>0</v>
      </c>
    </row>
    <row r="73" spans="1:8" ht="24" outlineLevel="2">
      <c r="A73" s="37" t="str">
        <f>'Приложение 2'!A78</f>
        <v>Закупка товаров, работ и услуг для государственных (муниципальных) нужд</v>
      </c>
      <c r="B73" s="64" t="str">
        <f>'Приложение 2'!C78</f>
        <v>0113</v>
      </c>
      <c r="C73" s="64" t="str">
        <f>'Приложение 2'!D78</f>
        <v>20</v>
      </c>
      <c r="D73" s="64">
        <f>'Приложение 2'!E78</f>
        <v>2</v>
      </c>
      <c r="E73" s="64">
        <f>'Приложение 2'!F78</f>
        <v>200</v>
      </c>
      <c r="F73" s="50">
        <f>'Приложение 2'!G78</f>
        <v>10</v>
      </c>
      <c r="G73" s="50">
        <f>'Приложение 2'!H78</f>
        <v>0</v>
      </c>
      <c r="H73" s="50">
        <f t="shared" si="0"/>
        <v>0</v>
      </c>
    </row>
    <row r="74" spans="1:8" ht="36" hidden="1" outlineLevel="2">
      <c r="A74" s="37" t="str">
        <f>'Приложение 2'!A79</f>
        <v>Муниципальная программа "Улучшение условий и охраны труда в Алексеевском муниципальном районе на 2017-2019 годы"</v>
      </c>
      <c r="B74" s="64" t="str">
        <f>'Приложение 2'!C79</f>
        <v>0113</v>
      </c>
      <c r="C74" s="64" t="str">
        <f>'Приложение 2'!D79</f>
        <v>21</v>
      </c>
      <c r="D74" s="64">
        <f>'Приложение 2'!E79</f>
        <v>0</v>
      </c>
      <c r="E74" s="64"/>
      <c r="F74" s="50">
        <f>'Приложение 2'!G79</f>
        <v>0</v>
      </c>
      <c r="G74" s="50">
        <f>'Приложение 2'!H79</f>
        <v>0</v>
      </c>
      <c r="H74" s="50" t="e">
        <f t="shared" si="0"/>
        <v>#DIV/0!</v>
      </c>
    </row>
    <row r="75" spans="1:8" ht="24" hidden="1" outlineLevel="2">
      <c r="A75" s="37" t="str">
        <f>'Приложение 2'!A80</f>
        <v>Закупка товаров, работ и услуг для государственных (муниципальных) нужд</v>
      </c>
      <c r="B75" s="64" t="str">
        <f>'Приложение 2'!C80</f>
        <v>0113</v>
      </c>
      <c r="C75" s="64" t="str">
        <f>'Приложение 2'!D80</f>
        <v>21</v>
      </c>
      <c r="D75" s="64">
        <f>'Приложение 2'!E80</f>
        <v>0</v>
      </c>
      <c r="E75" s="64">
        <f>'Приложение 2'!F80</f>
        <v>200</v>
      </c>
      <c r="F75" s="50">
        <f>'Приложение 2'!G80</f>
        <v>0</v>
      </c>
      <c r="G75" s="50">
        <f>'Приложение 2'!H80</f>
        <v>0</v>
      </c>
      <c r="H75" s="50" t="e">
        <f aca="true" t="shared" si="1" ref="H75:H138">SUM(G75/F75)*100</f>
        <v>#DIV/0!</v>
      </c>
    </row>
    <row r="76" spans="1:8" ht="36" outlineLevel="2">
      <c r="A76" s="37" t="str">
        <f>'Приложение 2'!A81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76" s="64" t="str">
        <f>'Приложение 2'!C81</f>
        <v>0113</v>
      </c>
      <c r="C76" s="64" t="str">
        <f>'Приложение 2'!D81</f>
        <v>23</v>
      </c>
      <c r="D76" s="64">
        <f>'Приложение 2'!E81</f>
        <v>0</v>
      </c>
      <c r="E76" s="64"/>
      <c r="F76" s="50">
        <f>'Приложение 2'!G81</f>
        <v>10</v>
      </c>
      <c r="G76" s="50">
        <f>'Приложение 2'!H81</f>
        <v>0</v>
      </c>
      <c r="H76" s="50">
        <f t="shared" si="1"/>
        <v>0</v>
      </c>
    </row>
    <row r="77" spans="1:8" ht="24" outlineLevel="2">
      <c r="A77" s="37" t="str">
        <f>'Приложение 2'!A82</f>
        <v>Закупка товаров, работ и услуг для государственных (муниципальных) нужд</v>
      </c>
      <c r="B77" s="64" t="str">
        <f>'Приложение 2'!C82</f>
        <v>0113</v>
      </c>
      <c r="C77" s="64" t="str">
        <f>'Приложение 2'!D82</f>
        <v>23</v>
      </c>
      <c r="D77" s="64">
        <f>'Приложение 2'!E82</f>
        <v>0</v>
      </c>
      <c r="E77" s="64">
        <f>'Приложение 2'!F82</f>
        <v>200</v>
      </c>
      <c r="F77" s="50">
        <f>'Приложение 2'!G82</f>
        <v>10</v>
      </c>
      <c r="G77" s="50">
        <f>'Приложение 2'!H82</f>
        <v>0</v>
      </c>
      <c r="H77" s="50">
        <f t="shared" si="1"/>
        <v>0</v>
      </c>
    </row>
    <row r="78" spans="1:8" ht="60" outlineLevel="2">
      <c r="A78" s="37" t="str">
        <f>'Приложение 2'!A83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v>
      </c>
      <c r="B78" s="64" t="str">
        <f>'Приложение 2'!C83</f>
        <v>0113</v>
      </c>
      <c r="C78" s="64" t="str">
        <f>'Приложение 2'!D83</f>
        <v>51</v>
      </c>
      <c r="D78" s="64">
        <f>'Приложение 2'!E83</f>
        <v>0</v>
      </c>
      <c r="E78" s="64"/>
      <c r="F78" s="50">
        <f>'Приложение 2'!G83</f>
        <v>39759.18688</v>
      </c>
      <c r="G78" s="50">
        <f>'Приложение 2'!H83</f>
        <v>36186.72353</v>
      </c>
      <c r="H78" s="50">
        <f t="shared" si="1"/>
        <v>91.01474745753151</v>
      </c>
    </row>
    <row r="79" spans="1:8" ht="24" outlineLevel="2">
      <c r="A79" s="37" t="str">
        <f>'Приложение 2'!A84</f>
        <v>Предоставление субсидий бюджетным, автономным учреждениям и иным некоммерческим организациям</v>
      </c>
      <c r="B79" s="64" t="str">
        <f>'Приложение 2'!C84</f>
        <v>0113</v>
      </c>
      <c r="C79" s="64" t="str">
        <f>'Приложение 2'!D84</f>
        <v>51</v>
      </c>
      <c r="D79" s="64">
        <f>'Приложение 2'!E84</f>
        <v>0</v>
      </c>
      <c r="E79" s="64">
        <f>'Приложение 2'!F84</f>
        <v>600</v>
      </c>
      <c r="F79" s="50">
        <f>'Приложение 2'!G84</f>
        <v>39490.5</v>
      </c>
      <c r="G79" s="50">
        <f>'Приложение 2'!H84</f>
        <v>35918.03665</v>
      </c>
      <c r="H79" s="50">
        <f t="shared" si="1"/>
        <v>90.95361327407858</v>
      </c>
    </row>
    <row r="80" spans="1:8" ht="51.75" customHeight="1" outlineLevel="2">
      <c r="A80" s="37" t="str">
        <f>'Приложение 2'!A85</f>
        <v>Предоставление субсидий бюджетным, автономным учреждениям и иным некоммерческим организациям (мероприятия по обеспечению персонифицированного финансирования)</v>
      </c>
      <c r="B80" s="64" t="str">
        <f>'Приложение 2'!C85</f>
        <v>0113</v>
      </c>
      <c r="C80" s="64" t="str">
        <f>'Приложение 2'!D85</f>
        <v>51</v>
      </c>
      <c r="D80" s="64">
        <f>'Приложение 2'!E85</f>
        <v>0</v>
      </c>
      <c r="E80" s="64">
        <f>'Приложение 2'!F85</f>
        <v>600</v>
      </c>
      <c r="F80" s="50">
        <f>'Приложение 2'!G85</f>
        <v>268.68688</v>
      </c>
      <c r="G80" s="50">
        <f>'Приложение 2'!H85</f>
        <v>268.68688</v>
      </c>
      <c r="H80" s="50">
        <f t="shared" si="1"/>
        <v>100</v>
      </c>
    </row>
    <row r="81" spans="1:8" ht="12.75" outlineLevel="2">
      <c r="A81" s="37" t="str">
        <f>'Приложение 2'!A86</f>
        <v>Государственная регистрация актов гражданского состояния</v>
      </c>
      <c r="B81" s="64" t="str">
        <f>'Приложение 2'!C86</f>
        <v>0113</v>
      </c>
      <c r="C81" s="64">
        <f>'Приложение 2'!D86</f>
        <v>0</v>
      </c>
      <c r="D81" s="64">
        <f>'Приложение 2'!E86</f>
        <v>0</v>
      </c>
      <c r="E81" s="64"/>
      <c r="F81" s="50">
        <f>'Приложение 2'!G86</f>
        <v>1178.4</v>
      </c>
      <c r="G81" s="50">
        <f>'Приложение 2'!H86</f>
        <v>840.5763</v>
      </c>
      <c r="H81" s="50">
        <f t="shared" si="1"/>
        <v>71.33200101832993</v>
      </c>
    </row>
    <row r="82" spans="1:8" ht="36" outlineLevel="2">
      <c r="A82" s="37" t="str">
        <f>'Приложение 2'!A87</f>
        <v>Непрограммные направления обеспечения деятельности органов местного самоуправления Алексеевского муниципального района</v>
      </c>
      <c r="B82" s="64" t="str">
        <f>'Приложение 2'!C87</f>
        <v>0113</v>
      </c>
      <c r="C82" s="64" t="str">
        <f>'Приложение 2'!D87</f>
        <v>90</v>
      </c>
      <c r="D82" s="64">
        <f>'Приложение 2'!E87</f>
        <v>0</v>
      </c>
      <c r="E82" s="64"/>
      <c r="F82" s="50">
        <f>'Приложение 2'!G87</f>
        <v>1178.4</v>
      </c>
      <c r="G82" s="50">
        <f>'Приложение 2'!H87</f>
        <v>840.5763</v>
      </c>
      <c r="H82" s="50">
        <f t="shared" si="1"/>
        <v>71.33200101832993</v>
      </c>
    </row>
    <row r="83" spans="1:8" ht="48" outlineLevel="2">
      <c r="A83" s="37" t="str">
        <f>'Приложение 2'!A88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83" s="64" t="str">
        <f>'Приложение 2'!C88</f>
        <v>0113</v>
      </c>
      <c r="C83" s="64" t="str">
        <f>'Приложение 2'!D88</f>
        <v>90</v>
      </c>
      <c r="D83" s="64" t="str">
        <f>'Приложение 2'!E88</f>
        <v>0</v>
      </c>
      <c r="E83" s="64">
        <f>'Приложение 2'!F88</f>
        <v>100</v>
      </c>
      <c r="F83" s="50">
        <f>'Приложение 2'!G88</f>
        <v>1058.6</v>
      </c>
      <c r="G83" s="50">
        <f>'Приложение 2'!H88</f>
        <v>757.8049</v>
      </c>
      <c r="H83" s="50">
        <f t="shared" si="1"/>
        <v>71.58557528811639</v>
      </c>
    </row>
    <row r="84" spans="1:8" ht="24" outlineLevel="2">
      <c r="A84" s="37" t="str">
        <f>'Приложение 2'!A89</f>
        <v>Закупка товаров, работ и услуг для государственных (муниципальных) нужд</v>
      </c>
      <c r="B84" s="64" t="str">
        <f>'Приложение 2'!C89</f>
        <v>0113</v>
      </c>
      <c r="C84" s="64" t="str">
        <f>'Приложение 2'!D89</f>
        <v>90</v>
      </c>
      <c r="D84" s="64" t="str">
        <f>'Приложение 2'!E89</f>
        <v>0</v>
      </c>
      <c r="E84" s="64">
        <f>'Приложение 2'!F89</f>
        <v>200</v>
      </c>
      <c r="F84" s="50">
        <f>'Приложение 2'!G89</f>
        <v>119.80000000000018</v>
      </c>
      <c r="G84" s="50">
        <f>'Приложение 2'!H89</f>
        <v>82.7714</v>
      </c>
      <c r="H84" s="50">
        <f t="shared" si="1"/>
        <v>69.09131886477452</v>
      </c>
    </row>
    <row r="85" spans="1:8" ht="26.25" customHeight="1" outlineLevel="2">
      <c r="A85" s="37" t="str">
        <f>'Приложение 2'!A90</f>
        <v>Оценка недвижимости, признание прав и регулирование отношений по муниципальной собственности</v>
      </c>
      <c r="B85" s="64" t="str">
        <f>'Приложение 2'!C90</f>
        <v>0113</v>
      </c>
      <c r="C85" s="64" t="str">
        <f>'Приложение 2'!D90</f>
        <v>99</v>
      </c>
      <c r="D85" s="64">
        <f>'Приложение 2'!E90</f>
        <v>0</v>
      </c>
      <c r="E85" s="64"/>
      <c r="F85" s="50">
        <f>'Приложение 2'!G90</f>
        <v>100</v>
      </c>
      <c r="G85" s="50">
        <f>'Приложение 2'!H90</f>
        <v>100</v>
      </c>
      <c r="H85" s="50">
        <f t="shared" si="1"/>
        <v>100</v>
      </c>
    </row>
    <row r="86" spans="1:8" ht="24.75" customHeight="1" outlineLevel="2">
      <c r="A86" s="37" t="str">
        <f>'Приложение 2'!A91</f>
        <v>Непрограммные расходы органов местного самоуправления Алексеевского муниципального района</v>
      </c>
      <c r="B86" s="64" t="str">
        <f>'Приложение 2'!C91</f>
        <v>0113</v>
      </c>
      <c r="C86" s="64" t="str">
        <f>'Приложение 2'!D91</f>
        <v>99</v>
      </c>
      <c r="D86" s="64" t="str">
        <f>'Приложение 2'!E91</f>
        <v>0</v>
      </c>
      <c r="E86" s="64"/>
      <c r="F86" s="50">
        <f>'Приложение 2'!G91</f>
        <v>100</v>
      </c>
      <c r="G86" s="50">
        <f>'Приложение 2'!H91</f>
        <v>100</v>
      </c>
      <c r="H86" s="50">
        <f t="shared" si="1"/>
        <v>100</v>
      </c>
    </row>
    <row r="87" spans="1:8" ht="24.75" customHeight="1" outlineLevel="2">
      <c r="A87" s="37" t="str">
        <f>'Приложение 2'!A92</f>
        <v>Закупка товаров, работ и услуг для государственных (муниципальных) нужд</v>
      </c>
      <c r="B87" s="64" t="str">
        <f>'Приложение 2'!C92</f>
        <v>0113</v>
      </c>
      <c r="C87" s="64" t="str">
        <f>'Приложение 2'!D92</f>
        <v>99</v>
      </c>
      <c r="D87" s="64" t="str">
        <f>'Приложение 2'!E92</f>
        <v>0</v>
      </c>
      <c r="E87" s="64">
        <f>'Приложение 2'!F92</f>
        <v>200</v>
      </c>
      <c r="F87" s="50">
        <f>'Приложение 2'!G92</f>
        <v>100</v>
      </c>
      <c r="G87" s="50">
        <f>'Приложение 2'!H92</f>
        <v>100</v>
      </c>
      <c r="H87" s="50">
        <f t="shared" si="1"/>
        <v>100</v>
      </c>
    </row>
    <row r="88" spans="1:8" ht="24" outlineLevel="5">
      <c r="A88" s="37" t="str">
        <f>'Приложение 2'!A93</f>
        <v>Реализация государственных функций, связанных с общегосударственным управлением</v>
      </c>
      <c r="B88" s="64" t="str">
        <f>'Приложение 2'!C93</f>
        <v>0113</v>
      </c>
      <c r="C88" s="64" t="str">
        <f>'Приложение 2'!D93</f>
        <v>99</v>
      </c>
      <c r="D88" s="64">
        <f>'Приложение 2'!E93</f>
        <v>0</v>
      </c>
      <c r="E88" s="64"/>
      <c r="F88" s="50">
        <f>'Приложение 2'!G93</f>
        <v>1802.6608999999999</v>
      </c>
      <c r="G88" s="50">
        <f>'Приложение 2'!H93</f>
        <v>1081.73062</v>
      </c>
      <c r="H88" s="50">
        <f t="shared" si="1"/>
        <v>60.00743789361604</v>
      </c>
    </row>
    <row r="89" spans="1:8" ht="25.5" customHeight="1" outlineLevel="5">
      <c r="A89" s="37" t="str">
        <f>'Приложение 2'!A94</f>
        <v>Непрограммные расходы органов местного самоуправления Алексеевского муниципального района</v>
      </c>
      <c r="B89" s="64" t="str">
        <f>'Приложение 2'!C94</f>
        <v>0113</v>
      </c>
      <c r="C89" s="64" t="str">
        <f>'Приложение 2'!D94</f>
        <v>99</v>
      </c>
      <c r="D89" s="64" t="str">
        <f>'Приложение 2'!E94</f>
        <v>0</v>
      </c>
      <c r="E89" s="64"/>
      <c r="F89" s="50">
        <f>'Приложение 2'!G94</f>
        <v>1802.6608999999999</v>
      </c>
      <c r="G89" s="50">
        <f>'Приложение 2'!H94</f>
        <v>1081.73062</v>
      </c>
      <c r="H89" s="50">
        <f t="shared" si="1"/>
        <v>60.00743789361604</v>
      </c>
    </row>
    <row r="90" spans="1:8" ht="25.5" customHeight="1" outlineLevel="5">
      <c r="A90" s="37" t="str">
        <f>'Приложение 2'!A95</f>
        <v>Закупка товаров, работ и услуг для государственных (муниципальных) нужд</v>
      </c>
      <c r="B90" s="64" t="str">
        <f>'Приложение 2'!C95</f>
        <v>0113</v>
      </c>
      <c r="C90" s="64" t="str">
        <f>'Приложение 2'!D95</f>
        <v>99</v>
      </c>
      <c r="D90" s="64">
        <f>'Приложение 2'!E95</f>
        <v>0</v>
      </c>
      <c r="E90" s="64"/>
      <c r="F90" s="50">
        <f>'Приложение 2'!G95</f>
        <v>411.7609000000001</v>
      </c>
      <c r="G90" s="50">
        <f>'Приложение 2'!H95</f>
        <v>335.02677</v>
      </c>
      <c r="H90" s="50">
        <f t="shared" si="1"/>
        <v>81.36439618234755</v>
      </c>
    </row>
    <row r="91" spans="1:8" ht="12.75" outlineLevel="5">
      <c r="A91" s="37" t="str">
        <f>'Приложение 2'!A96</f>
        <v>Иные бюджетные ассигнования</v>
      </c>
      <c r="B91" s="64" t="str">
        <f>'Приложение 2'!C96</f>
        <v>0113</v>
      </c>
      <c r="C91" s="64" t="str">
        <f>'Приложение 2'!D96</f>
        <v>99</v>
      </c>
      <c r="D91" s="64">
        <f>'Приложение 2'!E96</f>
        <v>0</v>
      </c>
      <c r="E91" s="64">
        <f>'Приложение 2'!F96</f>
        <v>800</v>
      </c>
      <c r="F91" s="50">
        <f>'Приложение 2'!G96</f>
        <v>1390.8999999999999</v>
      </c>
      <c r="G91" s="50">
        <f>'Приложение 2'!H96</f>
        <v>746.70385</v>
      </c>
      <c r="H91" s="50">
        <f t="shared" si="1"/>
        <v>53.68494140484579</v>
      </c>
    </row>
    <row r="92" spans="1:8" ht="24" hidden="1" outlineLevel="5">
      <c r="A92" s="37" t="str">
        <f>'Приложение 2'!A97</f>
        <v>Осуществление полномочий по подготовке и проведению Всероссийской переписи населения 2020 года на 2021 год</v>
      </c>
      <c r="B92" s="64" t="str">
        <f>'Приложение 2'!C97</f>
        <v>0113</v>
      </c>
      <c r="C92" s="64" t="str">
        <f>'Приложение 2'!D97</f>
        <v>99</v>
      </c>
      <c r="D92" s="64">
        <f>'Приложение 2'!E97</f>
        <v>0</v>
      </c>
      <c r="E92" s="64"/>
      <c r="F92" s="50">
        <f>'Приложение 2'!G97</f>
        <v>0</v>
      </c>
      <c r="G92" s="50">
        <f>'Приложение 2'!H97</f>
        <v>0</v>
      </c>
      <c r="H92" s="50" t="e">
        <f t="shared" si="1"/>
        <v>#DIV/0!</v>
      </c>
    </row>
    <row r="93" spans="1:8" ht="24" hidden="1" outlineLevel="5">
      <c r="A93" s="37" t="str">
        <f>'Приложение 2'!A98</f>
        <v>Непрограммные расходы органов местного самоуправления Алексеевского муниципального района</v>
      </c>
      <c r="B93" s="64" t="str">
        <f>'Приложение 2'!C98</f>
        <v>0113</v>
      </c>
      <c r="C93" s="64" t="str">
        <f>'Приложение 2'!D98</f>
        <v>99</v>
      </c>
      <c r="D93" s="64" t="str">
        <f>'Приложение 2'!E98</f>
        <v>0</v>
      </c>
      <c r="E93" s="64"/>
      <c r="F93" s="50">
        <f>'Приложение 2'!G98</f>
        <v>0</v>
      </c>
      <c r="G93" s="50">
        <f>'Приложение 2'!H98</f>
        <v>0</v>
      </c>
      <c r="H93" s="50" t="e">
        <f t="shared" si="1"/>
        <v>#DIV/0!</v>
      </c>
    </row>
    <row r="94" spans="1:8" ht="24" hidden="1" outlineLevel="5">
      <c r="A94" s="37" t="str">
        <f>'Приложение 2'!A99</f>
        <v>Закупка товаров, работ и услуг для государственных (муниципальных) нужд</v>
      </c>
      <c r="B94" s="64" t="str">
        <f>'Приложение 2'!C99</f>
        <v>0113</v>
      </c>
      <c r="C94" s="64" t="str">
        <f>'Приложение 2'!D99</f>
        <v>99</v>
      </c>
      <c r="D94" s="64">
        <f>'Приложение 2'!E99</f>
        <v>0</v>
      </c>
      <c r="E94" s="64">
        <f>'Приложение 2'!F99</f>
        <v>200</v>
      </c>
      <c r="F94" s="50">
        <f>'Приложение 2'!G99</f>
        <v>0</v>
      </c>
      <c r="G94" s="50">
        <f>'Приложение 2'!H99</f>
        <v>0</v>
      </c>
      <c r="H94" s="50" t="e">
        <f t="shared" si="1"/>
        <v>#DIV/0!</v>
      </c>
    </row>
    <row r="95" spans="1:8" ht="12.75" outlineLevel="5">
      <c r="A95" s="37" t="str">
        <f>'Приложение 2'!A100</f>
        <v>Условно утвержденные расходы</v>
      </c>
      <c r="B95" s="64" t="str">
        <f>'Приложение 2'!C100</f>
        <v>0113</v>
      </c>
      <c r="C95" s="64" t="str">
        <f>'Приложение 2'!D100</f>
        <v>99</v>
      </c>
      <c r="D95" s="64">
        <f>'Приложение 2'!E100</f>
        <v>0</v>
      </c>
      <c r="E95" s="64" t="s">
        <v>142</v>
      </c>
      <c r="F95" s="50">
        <f>'Приложение 2'!G100</f>
        <v>0</v>
      </c>
      <c r="G95" s="50">
        <f>'Приложение 2'!H100</f>
        <v>0</v>
      </c>
      <c r="H95" s="50" t="e">
        <f t="shared" si="1"/>
        <v>#DIV/0!</v>
      </c>
    </row>
    <row r="96" spans="1:8" ht="12.75" outlineLevel="5">
      <c r="A96" s="37" t="str">
        <f>'Приложение 2'!A101</f>
        <v>Национальная оборона </v>
      </c>
      <c r="B96" s="64" t="str">
        <f>'Приложение 2'!C101</f>
        <v>0200</v>
      </c>
      <c r="C96" s="64"/>
      <c r="D96" s="64"/>
      <c r="E96" s="64"/>
      <c r="F96" s="50">
        <f>'Приложение 2'!G101</f>
        <v>20</v>
      </c>
      <c r="G96" s="50">
        <f>'Приложение 2'!H101</f>
        <v>1.4565</v>
      </c>
      <c r="H96" s="50">
        <f t="shared" si="1"/>
        <v>7.2825</v>
      </c>
    </row>
    <row r="97" spans="1:8" ht="12.75" outlineLevel="5">
      <c r="A97" s="37" t="str">
        <f>'Приложение 2'!A102</f>
        <v>Мобилизационная подготовка экономики</v>
      </c>
      <c r="B97" s="64" t="str">
        <f>'Приложение 2'!C102</f>
        <v>0204</v>
      </c>
      <c r="C97" s="64"/>
      <c r="D97" s="64"/>
      <c r="E97" s="64"/>
      <c r="F97" s="50">
        <f>'Приложение 2'!G102</f>
        <v>20</v>
      </c>
      <c r="G97" s="50">
        <f>'Приложение 2'!H102</f>
        <v>1.4565</v>
      </c>
      <c r="H97" s="50">
        <f t="shared" si="1"/>
        <v>7.2825</v>
      </c>
    </row>
    <row r="98" spans="1:8" ht="24" outlineLevel="2">
      <c r="A98" s="37" t="str">
        <f>'Приложение 2'!A103</f>
        <v>Мероприятия по обеспечению мобилизационной готовности экономики</v>
      </c>
      <c r="B98" s="64" t="str">
        <f>'Приложение 2'!C103</f>
        <v>0204</v>
      </c>
      <c r="C98" s="64"/>
      <c r="D98" s="64"/>
      <c r="E98" s="64"/>
      <c r="F98" s="50">
        <f>'Приложение 2'!G103</f>
        <v>20</v>
      </c>
      <c r="G98" s="50">
        <f>'Приложение 2'!H103</f>
        <v>1.4565</v>
      </c>
      <c r="H98" s="50">
        <f t="shared" si="1"/>
        <v>7.2825</v>
      </c>
    </row>
    <row r="99" spans="1:8" ht="24.75" customHeight="1" outlineLevel="5">
      <c r="A99" s="37" t="str">
        <f>'Приложение 2'!A104</f>
        <v>Непрограммные расходы органов местного самоуправления Алексеевского муниципального района</v>
      </c>
      <c r="B99" s="64" t="str">
        <f>'Приложение 2'!C104</f>
        <v>0204</v>
      </c>
      <c r="C99" s="64" t="str">
        <f>'Приложение 2'!D104</f>
        <v>99</v>
      </c>
      <c r="D99" s="64">
        <f>'Приложение 2'!E104</f>
        <v>0</v>
      </c>
      <c r="E99" s="64"/>
      <c r="F99" s="50">
        <f>'Приложение 2'!G104</f>
        <v>20</v>
      </c>
      <c r="G99" s="50">
        <f>'Приложение 2'!H104</f>
        <v>1.4565</v>
      </c>
      <c r="H99" s="50">
        <f t="shared" si="1"/>
        <v>7.2825</v>
      </c>
    </row>
    <row r="100" spans="1:8" ht="24.75" customHeight="1" outlineLevel="5">
      <c r="A100" s="37" t="str">
        <f>'Приложение 2'!A105</f>
        <v>Закупка товаров, работ и услуг для государственных (муниципальных) нужд</v>
      </c>
      <c r="B100" s="64" t="str">
        <f>'Приложение 2'!C105</f>
        <v>0204</v>
      </c>
      <c r="C100" s="64" t="str">
        <f>'Приложение 2'!D105</f>
        <v>99</v>
      </c>
      <c r="D100" s="64">
        <f>'Приложение 2'!E105</f>
        <v>0</v>
      </c>
      <c r="E100" s="64">
        <f>'Приложение 2'!F105</f>
        <v>200</v>
      </c>
      <c r="F100" s="50">
        <f>'Приложение 2'!G105</f>
        <v>20</v>
      </c>
      <c r="G100" s="50">
        <f>'Приложение 2'!H105</f>
        <v>1.4565</v>
      </c>
      <c r="H100" s="50">
        <f t="shared" si="1"/>
        <v>7.2825</v>
      </c>
    </row>
    <row r="101" spans="1:8" ht="24" outlineLevel="5">
      <c r="A101" s="37" t="str">
        <f>'Приложение 2'!A106</f>
        <v>Национальная безопасность и правоохранительная деятельность</v>
      </c>
      <c r="B101" s="64" t="str">
        <f>'Приложение 2'!C106</f>
        <v>0300</v>
      </c>
      <c r="C101" s="64"/>
      <c r="D101" s="64"/>
      <c r="E101" s="64"/>
      <c r="F101" s="50">
        <f>'Приложение 2'!G106</f>
        <v>70</v>
      </c>
      <c r="G101" s="50">
        <f>'Приложение 2'!H106</f>
        <v>0</v>
      </c>
      <c r="H101" s="50">
        <f t="shared" si="1"/>
        <v>0</v>
      </c>
    </row>
    <row r="102" spans="1:8" ht="12.75" outlineLevel="5">
      <c r="A102" s="37" t="str">
        <f>'Приложение 2'!A107</f>
        <v>Гражданская оборона</v>
      </c>
      <c r="B102" s="64" t="str">
        <f>'Приложение 2'!C107</f>
        <v>0309</v>
      </c>
      <c r="C102" s="64"/>
      <c r="D102" s="64"/>
      <c r="E102" s="64"/>
      <c r="F102" s="50">
        <f>'Приложение 2'!G107</f>
        <v>20</v>
      </c>
      <c r="G102" s="50">
        <f>'Приложение 2'!H107</f>
        <v>0</v>
      </c>
      <c r="H102" s="50">
        <f t="shared" si="1"/>
        <v>0</v>
      </c>
    </row>
    <row r="103" spans="1:8" ht="24" outlineLevel="5">
      <c r="A103" s="37" t="str">
        <f>'Приложение 2'!A108</f>
        <v>Непрограммные расходы органов местного самоуправления Алексеевского муниципального района</v>
      </c>
      <c r="B103" s="64" t="str">
        <f>'Приложение 2'!C108</f>
        <v>0309</v>
      </c>
      <c r="C103" s="64" t="str">
        <f>'Приложение 2'!D108</f>
        <v>99</v>
      </c>
      <c r="D103" s="64">
        <f>'Приложение 2'!E108</f>
        <v>0</v>
      </c>
      <c r="E103" s="64"/>
      <c r="F103" s="50">
        <f>'Приложение 2'!G108</f>
        <v>20</v>
      </c>
      <c r="G103" s="50">
        <f>'Приложение 2'!H108</f>
        <v>0</v>
      </c>
      <c r="H103" s="50">
        <f t="shared" si="1"/>
        <v>0</v>
      </c>
    </row>
    <row r="104" spans="1:8" ht="24" outlineLevel="5">
      <c r="A104" s="37" t="str">
        <f>'Приложение 2'!A109</f>
        <v>Закупка товаров, работ и услуг для государственных (муниципальных) нужд</v>
      </c>
      <c r="B104" s="64" t="str">
        <f>'Приложение 2'!C109</f>
        <v>0309</v>
      </c>
      <c r="C104" s="64" t="str">
        <f>'Приложение 2'!D109</f>
        <v>99</v>
      </c>
      <c r="D104" s="64">
        <f>'Приложение 2'!E109</f>
        <v>0</v>
      </c>
      <c r="E104" s="64">
        <f>'Приложение 2'!F109</f>
        <v>200</v>
      </c>
      <c r="F104" s="50">
        <f>'Приложение 2'!G109</f>
        <v>20</v>
      </c>
      <c r="G104" s="50">
        <f>'Приложение 2'!H109</f>
        <v>0</v>
      </c>
      <c r="H104" s="50">
        <f t="shared" si="1"/>
        <v>0</v>
      </c>
    </row>
    <row r="105" spans="1:8" ht="31.5" customHeight="1" outlineLevel="2">
      <c r="A105" s="37" t="str">
        <f>'Приложение 2'!A110</f>
        <v>Защита населения и территории от чрезвычайных ситуаций природного и техногенного характера, пожарная безопасность</v>
      </c>
      <c r="B105" s="64" t="str">
        <f>'Приложение 2'!C110</f>
        <v>0310</v>
      </c>
      <c r="C105" s="64"/>
      <c r="D105" s="64"/>
      <c r="E105" s="64"/>
      <c r="F105" s="50">
        <f>'Приложение 2'!G110</f>
        <v>50</v>
      </c>
      <c r="G105" s="50">
        <f>'Приложение 2'!H110</f>
        <v>0</v>
      </c>
      <c r="H105" s="50">
        <f t="shared" si="1"/>
        <v>0</v>
      </c>
    </row>
    <row r="106" spans="1:8" ht="28.5" customHeight="1" outlineLevel="5">
      <c r="A106" s="37" t="str">
        <f>'Приложение 2'!A111</f>
        <v>Непрограммные расходы органов местного самоуправления Алексеевского муниципального района</v>
      </c>
      <c r="B106" s="64" t="str">
        <f>'Приложение 2'!C111</f>
        <v>0310</v>
      </c>
      <c r="C106" s="64" t="str">
        <f>'Приложение 2'!D111</f>
        <v>99</v>
      </c>
      <c r="D106" s="64">
        <f>'Приложение 2'!E111</f>
        <v>0</v>
      </c>
      <c r="E106" s="64"/>
      <c r="F106" s="50">
        <f>'Приложение 2'!G111</f>
        <v>50</v>
      </c>
      <c r="G106" s="50">
        <f>'Приложение 2'!H111</f>
        <v>0</v>
      </c>
      <c r="H106" s="50">
        <f t="shared" si="1"/>
        <v>0</v>
      </c>
    </row>
    <row r="107" spans="1:8" ht="27" customHeight="1" outlineLevel="5">
      <c r="A107" s="37" t="str">
        <f>'Приложение 2'!A112</f>
        <v>Закупка товаров, работ и услуг для государственных (муниципальных) нужд</v>
      </c>
      <c r="B107" s="64" t="str">
        <f>'Приложение 2'!C112</f>
        <v>0310</v>
      </c>
      <c r="C107" s="64" t="str">
        <f>'Приложение 2'!D112</f>
        <v>99</v>
      </c>
      <c r="D107" s="64">
        <f>'Приложение 2'!E112</f>
        <v>0</v>
      </c>
      <c r="E107" s="64">
        <f>'Приложение 2'!F112</f>
        <v>200</v>
      </c>
      <c r="F107" s="50">
        <f>'Приложение 2'!G112</f>
        <v>50</v>
      </c>
      <c r="G107" s="50">
        <f>'Приложение 2'!H112</f>
        <v>0</v>
      </c>
      <c r="H107" s="50">
        <f t="shared" si="1"/>
        <v>0</v>
      </c>
    </row>
    <row r="108" spans="1:8" ht="18" customHeight="1" hidden="1" outlineLevel="3">
      <c r="A108" s="37" t="e">
        <f>'Приложение 2'!#REF!</f>
        <v>#REF!</v>
      </c>
      <c r="B108" s="64" t="e">
        <f>'Приложение 2'!#REF!</f>
        <v>#REF!</v>
      </c>
      <c r="C108" s="64"/>
      <c r="D108" s="64"/>
      <c r="E108" s="64"/>
      <c r="F108" s="50" t="e">
        <f>'Приложение 2'!#REF!</f>
        <v>#REF!</v>
      </c>
      <c r="G108" s="50" t="e">
        <f>'Приложение 2'!#REF!</f>
        <v>#REF!</v>
      </c>
      <c r="H108" s="50" t="e">
        <f t="shared" si="1"/>
        <v>#REF!</v>
      </c>
    </row>
    <row r="109" spans="1:8" ht="27" customHeight="1" hidden="1" outlineLevel="3">
      <c r="A109" s="37" t="e">
        <f>'Приложение 2'!#REF!</f>
        <v>#REF!</v>
      </c>
      <c r="B109" s="64" t="e">
        <f>'Приложение 2'!#REF!</f>
        <v>#REF!</v>
      </c>
      <c r="C109" s="64" t="e">
        <f>'Приложение 2'!#REF!</f>
        <v>#REF!</v>
      </c>
      <c r="D109" s="64" t="e">
        <f>'Приложение 2'!#REF!</f>
        <v>#REF!</v>
      </c>
      <c r="E109" s="64"/>
      <c r="F109" s="50" t="e">
        <f>'Приложение 2'!#REF!</f>
        <v>#REF!</v>
      </c>
      <c r="G109" s="50" t="e">
        <f>'Приложение 2'!#REF!</f>
        <v>#REF!</v>
      </c>
      <c r="H109" s="50" t="e">
        <f t="shared" si="1"/>
        <v>#REF!</v>
      </c>
    </row>
    <row r="110" spans="1:8" ht="27" customHeight="1" hidden="1" outlineLevel="3">
      <c r="A110" s="37" t="e">
        <f>'Приложение 2'!#REF!</f>
        <v>#REF!</v>
      </c>
      <c r="B110" s="64" t="e">
        <f>'Приложение 2'!#REF!</f>
        <v>#REF!</v>
      </c>
      <c r="C110" s="64" t="e">
        <f>'Приложение 2'!#REF!</f>
        <v>#REF!</v>
      </c>
      <c r="D110" s="64" t="e">
        <f>'Приложение 2'!#REF!</f>
        <v>#REF!</v>
      </c>
      <c r="E110" s="64" t="e">
        <f>'Приложение 2'!#REF!</f>
        <v>#REF!</v>
      </c>
      <c r="F110" s="50" t="e">
        <f>'Приложение 2'!#REF!</f>
        <v>#REF!</v>
      </c>
      <c r="G110" s="50" t="e">
        <f>'Приложение 2'!#REF!</f>
        <v>#REF!</v>
      </c>
      <c r="H110" s="50" t="e">
        <f t="shared" si="1"/>
        <v>#REF!</v>
      </c>
    </row>
    <row r="111" spans="1:8" ht="11.25" customHeight="1" outlineLevel="3">
      <c r="A111" s="37" t="str">
        <f>'Приложение 2'!A113</f>
        <v>Национальная экономика</v>
      </c>
      <c r="B111" s="64" t="str">
        <f>'Приложение 2'!C113</f>
        <v>0400</v>
      </c>
      <c r="C111" s="64"/>
      <c r="D111" s="64"/>
      <c r="E111" s="64"/>
      <c r="F111" s="50">
        <f>'Приложение 2'!G113</f>
        <v>25684.40628</v>
      </c>
      <c r="G111" s="50">
        <f>'Приложение 2'!H113</f>
        <v>16361.111</v>
      </c>
      <c r="H111" s="50">
        <f t="shared" si="1"/>
        <v>63.70056142874564</v>
      </c>
    </row>
    <row r="112" spans="1:8" ht="12.75" outlineLevel="3">
      <c r="A112" s="37" t="str">
        <f>'Приложение 2'!A114</f>
        <v>Сельское хозяйство и рыболовство</v>
      </c>
      <c r="B112" s="64" t="str">
        <f>'Приложение 2'!C114</f>
        <v>0405</v>
      </c>
      <c r="C112" s="64"/>
      <c r="D112" s="64"/>
      <c r="E112" s="64"/>
      <c r="F112" s="50">
        <f>'Приложение 2'!G114</f>
        <v>143.5</v>
      </c>
      <c r="G112" s="50">
        <f>'Приложение 2'!H114</f>
        <v>143.5</v>
      </c>
      <c r="H112" s="50">
        <f t="shared" si="1"/>
        <v>100</v>
      </c>
    </row>
    <row r="113" spans="1:8" ht="48" outlineLevel="3">
      <c r="A113" s="37" t="str">
        <f>'Приложение 2'!A115</f>
        <v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v>
      </c>
      <c r="B113" s="64" t="str">
        <f>'Приложение 2'!C115</f>
        <v>0405</v>
      </c>
      <c r="C113" s="64" t="str">
        <f>'Приложение 2'!D115</f>
        <v>99</v>
      </c>
      <c r="D113" s="64">
        <f>'Приложение 2'!E115</f>
        <v>0</v>
      </c>
      <c r="E113" s="64"/>
      <c r="F113" s="50">
        <f>'Приложение 2'!G115</f>
        <v>143.5</v>
      </c>
      <c r="G113" s="50">
        <f>'Приложение 2'!H115</f>
        <v>143.5</v>
      </c>
      <c r="H113" s="50">
        <f t="shared" si="1"/>
        <v>100</v>
      </c>
    </row>
    <row r="114" spans="1:8" ht="24" outlineLevel="3">
      <c r="A114" s="37" t="str">
        <f>'Приложение 2'!A116</f>
        <v>Непрограммные расходы органов местного самоуправления Алексеевского муниципального района</v>
      </c>
      <c r="B114" s="64" t="str">
        <f>'Приложение 2'!C116</f>
        <v>0405</v>
      </c>
      <c r="C114" s="64" t="str">
        <f>'Приложение 2'!D116</f>
        <v>99</v>
      </c>
      <c r="D114" s="64">
        <f>'Приложение 2'!E116</f>
        <v>0</v>
      </c>
      <c r="E114" s="64"/>
      <c r="F114" s="50">
        <f>'Приложение 2'!G116</f>
        <v>143.5</v>
      </c>
      <c r="G114" s="50">
        <f>'Приложение 2'!H116</f>
        <v>143.5</v>
      </c>
      <c r="H114" s="50">
        <f t="shared" si="1"/>
        <v>100</v>
      </c>
    </row>
    <row r="115" spans="1:8" ht="24" outlineLevel="3">
      <c r="A115" s="37" t="str">
        <f>'Приложение 2'!A117</f>
        <v>Закупка товаров, работ и услуг для государственных (муниципальных) нужд</v>
      </c>
      <c r="B115" s="64" t="str">
        <f>'Приложение 2'!C117</f>
        <v>0405</v>
      </c>
      <c r="C115" s="64" t="str">
        <f>'Приложение 2'!D117</f>
        <v>99</v>
      </c>
      <c r="D115" s="64">
        <f>'Приложение 2'!E117</f>
        <v>0</v>
      </c>
      <c r="E115" s="64">
        <f>'Приложение 2'!F117</f>
        <v>200</v>
      </c>
      <c r="F115" s="50">
        <f>'Приложение 2'!G117</f>
        <v>143.5</v>
      </c>
      <c r="G115" s="50">
        <f>'Приложение 2'!H117</f>
        <v>143.5</v>
      </c>
      <c r="H115" s="50">
        <f t="shared" si="1"/>
        <v>100</v>
      </c>
    </row>
    <row r="116" spans="1:8" ht="12.75" outlineLevel="3">
      <c r="A116" s="37" t="str">
        <f>'Приложение 2'!A118</f>
        <v>Дорожное хозяйство (дорожные фонды)</v>
      </c>
      <c r="B116" s="64" t="str">
        <f>'Приложение 2'!C118</f>
        <v>0409</v>
      </c>
      <c r="C116" s="64"/>
      <c r="D116" s="64"/>
      <c r="E116" s="64"/>
      <c r="F116" s="50">
        <f>'Приложение 2'!G118</f>
        <v>24061.30808</v>
      </c>
      <c r="G116" s="50">
        <f>'Приложение 2'!H118</f>
        <v>15808.611</v>
      </c>
      <c r="H116" s="50">
        <f t="shared" si="1"/>
        <v>65.70137811061186</v>
      </c>
    </row>
    <row r="117" spans="1:8" ht="48" outlineLevel="3">
      <c r="A117" s="37" t="str">
        <f>'Приложение 2'!A119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117" s="64" t="str">
        <f>'Приложение 2'!C119</f>
        <v>0409</v>
      </c>
      <c r="C117" s="64" t="str">
        <f>'Приложение 2'!D119</f>
        <v>18</v>
      </c>
      <c r="D117" s="64">
        <f>'Приложение 2'!E119</f>
        <v>0</v>
      </c>
      <c r="E117" s="64"/>
      <c r="F117" s="50">
        <f>'Приложение 2'!G119</f>
        <v>24061.30808</v>
      </c>
      <c r="G117" s="50">
        <f>'Приложение 2'!H119</f>
        <v>15808.611</v>
      </c>
      <c r="H117" s="50">
        <f t="shared" si="1"/>
        <v>65.70137811061186</v>
      </c>
    </row>
    <row r="118" spans="1:8" ht="27" customHeight="1" outlineLevel="1">
      <c r="A118" s="37" t="str">
        <f>'Приложение 2'!A120</f>
        <v>Закупка товаров, работ и услуг для государственных (муниципальных) нужд</v>
      </c>
      <c r="B118" s="64" t="str">
        <f>'Приложение 2'!C120</f>
        <v>0409</v>
      </c>
      <c r="C118" s="64" t="str">
        <f>'Приложение 2'!D120</f>
        <v>18</v>
      </c>
      <c r="D118" s="64">
        <f>'Приложение 2'!E120</f>
        <v>0</v>
      </c>
      <c r="E118" s="64">
        <f>'Приложение 2'!F120</f>
        <v>200</v>
      </c>
      <c r="F118" s="50">
        <f>'Приложение 2'!G120</f>
        <v>5261.3062199999995</v>
      </c>
      <c r="G118" s="50">
        <f>'Приложение 2'!H120</f>
        <v>0</v>
      </c>
      <c r="H118" s="50">
        <f t="shared" si="1"/>
        <v>0</v>
      </c>
    </row>
    <row r="119" spans="1:8" ht="23.25" customHeight="1" outlineLevel="1">
      <c r="A119" s="37" t="str">
        <f>'Приложение 2'!A121</f>
        <v>Субсидия на реализацию мероприятий в сфере дорожной деятельности </v>
      </c>
      <c r="B119" s="64" t="str">
        <f>'Приложение 2'!C121</f>
        <v>0409</v>
      </c>
      <c r="C119" s="64" t="str">
        <f>'Приложение 2'!D121</f>
        <v>18</v>
      </c>
      <c r="D119" s="64">
        <f>'Приложение 2'!E121</f>
        <v>0</v>
      </c>
      <c r="E119" s="64">
        <f>'Приложение 2'!F121</f>
        <v>200</v>
      </c>
      <c r="F119" s="50">
        <f>'Приложение 2'!G121</f>
        <v>10989.18172</v>
      </c>
      <c r="G119" s="50">
        <f>'Приложение 2'!H121</f>
        <v>10445.09766</v>
      </c>
      <c r="H119" s="50">
        <f t="shared" si="1"/>
        <v>95.04891197667808</v>
      </c>
    </row>
    <row r="120" spans="1:8" ht="36" outlineLevel="1">
      <c r="A120" s="37" t="str">
        <f>'Приложение 2'!A122</f>
        <v>Закупка товаров, работ и услуг для государственных (муниципальных) нужд (софинансирование мероприятий в сфере дорожной деятельности)</v>
      </c>
      <c r="B120" s="64" t="str">
        <f>'Приложение 2'!C122</f>
        <v>0409</v>
      </c>
      <c r="C120" s="64" t="str">
        <f>'Приложение 2'!D122</f>
        <v>18</v>
      </c>
      <c r="D120" s="64">
        <f>'Приложение 2'!E122</f>
        <v>0</v>
      </c>
      <c r="E120" s="64">
        <f>'Приложение 2'!F122</f>
        <v>200</v>
      </c>
      <c r="F120" s="50">
        <f>'Приложение 2'!G122</f>
        <v>111.00186</v>
      </c>
      <c r="G120" s="50">
        <f>'Приложение 2'!H122</f>
        <v>105.50604</v>
      </c>
      <c r="H120" s="50">
        <f t="shared" si="1"/>
        <v>95.0488937752935</v>
      </c>
    </row>
    <row r="121" spans="1:8" ht="24.75" customHeight="1" outlineLevel="1">
      <c r="A121" s="37" t="str">
        <f>'Приложение 2'!A123</f>
        <v>Межбюджетные трансферты за счет средств субсидии на реализацию мероприятий в сфере дорожной деятельности</v>
      </c>
      <c r="B121" s="64" t="str">
        <f>'Приложение 2'!C123</f>
        <v>0409</v>
      </c>
      <c r="C121" s="64" t="str">
        <f>'Приложение 2'!D123</f>
        <v>18</v>
      </c>
      <c r="D121" s="64">
        <f>'Приложение 2'!E123</f>
        <v>0</v>
      </c>
      <c r="E121" s="64">
        <f>'Приложение 2'!F123</f>
        <v>500</v>
      </c>
      <c r="F121" s="50">
        <f>'Приложение 2'!G123</f>
        <v>7699.8182799999995</v>
      </c>
      <c r="G121" s="50">
        <f>'Приложение 2'!H123</f>
        <v>5258.0073</v>
      </c>
      <c r="H121" s="50">
        <f t="shared" si="1"/>
        <v>68.28742067403701</v>
      </c>
    </row>
    <row r="122" spans="1:8" ht="24" hidden="1" outlineLevel="1">
      <c r="A122" s="37" t="str">
        <f>'Приложение 2'!A124</f>
        <v>Муниципальная программа "Комплексное развитие сельских территорий"</v>
      </c>
      <c r="B122" s="64" t="str">
        <f>'Приложение 2'!C124</f>
        <v>0409</v>
      </c>
      <c r="C122" s="64" t="str">
        <f>'Приложение 2'!D124</f>
        <v>03</v>
      </c>
      <c r="D122" s="64">
        <f>'Приложение 2'!E124</f>
        <v>0</v>
      </c>
      <c r="E122" s="64"/>
      <c r="F122" s="50">
        <f>'Приложение 2'!G124</f>
        <v>0</v>
      </c>
      <c r="G122" s="50">
        <f>'Приложение 2'!H124</f>
        <v>0</v>
      </c>
      <c r="H122" s="50" t="e">
        <f t="shared" si="1"/>
        <v>#DIV/0!</v>
      </c>
    </row>
    <row r="123" spans="1:8" ht="24" hidden="1" outlineLevel="1">
      <c r="A123" s="37" t="str">
        <f>'Приложение 2'!A125</f>
        <v>Предоставление субсидий бюджетным, автономным учреждениям и иным некоммерческим организациям</v>
      </c>
      <c r="B123" s="64" t="str">
        <f>'Приложение 2'!C125</f>
        <v>0409</v>
      </c>
      <c r="C123" s="64" t="str">
        <f>'Приложение 2'!D125</f>
        <v>03</v>
      </c>
      <c r="D123" s="64">
        <f>'Приложение 2'!E125</f>
        <v>0</v>
      </c>
      <c r="E123" s="64">
        <f>'Приложение 2'!F125</f>
        <v>600</v>
      </c>
      <c r="F123" s="50">
        <f>'Приложение 2'!G125</f>
        <v>0</v>
      </c>
      <c r="G123" s="50">
        <f>'Приложение 2'!H125</f>
        <v>0</v>
      </c>
      <c r="H123" s="50" t="e">
        <f t="shared" si="1"/>
        <v>#DIV/0!</v>
      </c>
    </row>
    <row r="124" spans="1:8" ht="16.5" customHeight="1" outlineLevel="2">
      <c r="A124" s="37" t="str">
        <f>'Приложение 2'!A126</f>
        <v>Другие вопросы в области национальной экономики</v>
      </c>
      <c r="B124" s="64" t="str">
        <f>'Приложение 2'!C126</f>
        <v>0412</v>
      </c>
      <c r="C124" s="64"/>
      <c r="D124" s="64"/>
      <c r="E124" s="64"/>
      <c r="F124" s="50">
        <f>'Приложение 2'!G126</f>
        <v>1479.5982</v>
      </c>
      <c r="G124" s="50">
        <f>'Приложение 2'!H126</f>
        <v>409</v>
      </c>
      <c r="H124" s="50">
        <f t="shared" si="1"/>
        <v>27.642639738274895</v>
      </c>
    </row>
    <row r="125" spans="1:8" ht="35.25" customHeight="1" outlineLevel="2">
      <c r="A125" s="37" t="str">
        <f>'Приложение 2'!A127</f>
        <v>Муниципальная программа "Развитие и поддержка малого предпринимательства Алексеевского муниципального района на 2019-2023 годы "</v>
      </c>
      <c r="B125" s="64" t="str">
        <f>'Приложение 2'!C127</f>
        <v>0412</v>
      </c>
      <c r="C125" s="64" t="str">
        <f>'Приложение 2'!D127</f>
        <v>04</v>
      </c>
      <c r="D125" s="64">
        <f>'Приложение 2'!E127</f>
        <v>0</v>
      </c>
      <c r="E125" s="64"/>
      <c r="F125" s="50">
        <f>'Приложение 2'!G127</f>
        <v>100</v>
      </c>
      <c r="G125" s="50">
        <f>'Приложение 2'!H127</f>
        <v>0</v>
      </c>
      <c r="H125" s="50">
        <f t="shared" si="1"/>
        <v>0</v>
      </c>
    </row>
    <row r="126" spans="1:8" ht="108" customHeight="1" hidden="1" outlineLevel="2">
      <c r="A126" s="37" t="str">
        <f>'Приложение 2'!A128</f>
        <v>Закупка товаров, работ и услуг для государственных (муниципальных) нужд</v>
      </c>
      <c r="B126" s="64" t="str">
        <f>'Приложение 2'!C128</f>
        <v>0412</v>
      </c>
      <c r="C126" s="64" t="str">
        <f>'Приложение 2'!D128</f>
        <v>04</v>
      </c>
      <c r="D126" s="64">
        <f>'Приложение 2'!E128</f>
        <v>0</v>
      </c>
      <c r="E126" s="64">
        <f>'Приложение 2'!F128</f>
        <v>200</v>
      </c>
      <c r="F126" s="50">
        <f>'Приложение 2'!G128</f>
        <v>0</v>
      </c>
      <c r="G126" s="50">
        <f>'Приложение 2'!H128</f>
        <v>0</v>
      </c>
      <c r="H126" s="50" t="e">
        <f t="shared" si="1"/>
        <v>#DIV/0!</v>
      </c>
    </row>
    <row r="127" spans="1:8" ht="165" customHeight="1" hidden="1" outlineLevel="2">
      <c r="A127" s="37" t="str">
        <f>'Приложение 2'!A129</f>
        <v>Социальное обеспечение и иные выплаты населению</v>
      </c>
      <c r="B127" s="64" t="str">
        <f>'Приложение 2'!C129</f>
        <v>0412</v>
      </c>
      <c r="C127" s="64" t="str">
        <f>'Приложение 2'!D129</f>
        <v>04</v>
      </c>
      <c r="D127" s="64">
        <f>'Приложение 2'!E129</f>
        <v>0</v>
      </c>
      <c r="E127" s="64">
        <f>'Приложение 2'!F129</f>
        <v>300</v>
      </c>
      <c r="F127" s="50">
        <f>'Приложение 2'!G129</f>
        <v>0</v>
      </c>
      <c r="G127" s="50">
        <f>'Приложение 2'!H129</f>
        <v>0</v>
      </c>
      <c r="H127" s="50" t="e">
        <f t="shared" si="1"/>
        <v>#DIV/0!</v>
      </c>
    </row>
    <row r="128" spans="1:8" ht="12.75" outlineLevel="2">
      <c r="A128" s="37" t="str">
        <f>'Приложение 2'!A130</f>
        <v>Иные бюджетные ассигнования</v>
      </c>
      <c r="B128" s="64" t="str">
        <f>'Приложение 2'!C130</f>
        <v>0412</v>
      </c>
      <c r="C128" s="64" t="str">
        <f>'Приложение 2'!D130</f>
        <v>04</v>
      </c>
      <c r="D128" s="64">
        <f>'Приложение 2'!E130</f>
        <v>0</v>
      </c>
      <c r="E128" s="64">
        <f>'Приложение 2'!F130</f>
        <v>800</v>
      </c>
      <c r="F128" s="50">
        <f>'Приложение 2'!G130</f>
        <v>100</v>
      </c>
      <c r="G128" s="50">
        <f>'Приложение 2'!H130</f>
        <v>0</v>
      </c>
      <c r="H128" s="50">
        <f t="shared" si="1"/>
        <v>0</v>
      </c>
    </row>
    <row r="129" spans="1:8" ht="39" customHeight="1" outlineLevel="2">
      <c r="A129" s="37" t="str">
        <f>'Приложение 2'!A131</f>
        <v>Муниципальная программа "Градостроительная политика на территории Алексеевского муниципального района на 2022–2024 годы"</v>
      </c>
      <c r="B129" s="64" t="str">
        <f>'Приложение 2'!C131</f>
        <v>0412</v>
      </c>
      <c r="C129" s="64" t="str">
        <f>'Приложение 2'!D131</f>
        <v>09</v>
      </c>
      <c r="D129" s="64">
        <f>'Приложение 2'!E131</f>
        <v>0</v>
      </c>
      <c r="E129" s="64"/>
      <c r="F129" s="50">
        <f>'Приложение 2'!G131</f>
        <v>1379.5982</v>
      </c>
      <c r="G129" s="50">
        <f>'Приложение 2'!H131</f>
        <v>409</v>
      </c>
      <c r="H129" s="50">
        <f t="shared" si="1"/>
        <v>29.646312962716248</v>
      </c>
    </row>
    <row r="130" spans="1:8" ht="24.75" customHeight="1" outlineLevel="2">
      <c r="A130" s="37" t="str">
        <f>'Приложение 2'!A132</f>
        <v>Закупка товаров, работ и услуг для государственных (муниципальных) нужд</v>
      </c>
      <c r="B130" s="64" t="str">
        <f>'Приложение 2'!C132</f>
        <v>0412</v>
      </c>
      <c r="C130" s="64" t="str">
        <f>'Приложение 2'!D132</f>
        <v>09</v>
      </c>
      <c r="D130" s="64">
        <f>'Приложение 2'!E132</f>
        <v>0</v>
      </c>
      <c r="E130" s="64">
        <f>'Приложение 2'!F132</f>
        <v>200</v>
      </c>
      <c r="F130" s="50">
        <f>'Приложение 2'!G132</f>
        <v>560</v>
      </c>
      <c r="G130" s="50">
        <f>'Приложение 2'!H132</f>
        <v>189</v>
      </c>
      <c r="H130" s="50">
        <f t="shared" si="1"/>
        <v>33.75</v>
      </c>
    </row>
    <row r="131" spans="1:8" ht="12.75" outlineLevel="2">
      <c r="A131" s="37" t="str">
        <f>'Приложение 2'!A133</f>
        <v>Межбюджетные трансферты</v>
      </c>
      <c r="B131" s="64" t="str">
        <f>'Приложение 2'!C133</f>
        <v>0412</v>
      </c>
      <c r="C131" s="64" t="str">
        <f>'Приложение 2'!D133</f>
        <v>09</v>
      </c>
      <c r="D131" s="64">
        <f>'Приложение 2'!E133</f>
        <v>0</v>
      </c>
      <c r="E131" s="64">
        <f>'Приложение 2'!F133</f>
        <v>500</v>
      </c>
      <c r="F131" s="50">
        <f>'Приложение 2'!G133</f>
        <v>220</v>
      </c>
      <c r="G131" s="50">
        <f>'Приложение 2'!H133</f>
        <v>220</v>
      </c>
      <c r="H131" s="50">
        <f t="shared" si="1"/>
        <v>100</v>
      </c>
    </row>
    <row r="132" spans="1:8" ht="16.5" customHeight="1" outlineLevel="3">
      <c r="A132" s="37" t="str">
        <f>'Приложение 2'!A134</f>
        <v>Проведение  кадастровых работ в отношении земельных участков</v>
      </c>
      <c r="B132" s="64" t="str">
        <f>'Приложение 2'!C134</f>
        <v>0412</v>
      </c>
      <c r="C132" s="64" t="str">
        <f>'Приложение 2'!D134</f>
        <v>09</v>
      </c>
      <c r="D132" s="64">
        <f>'Приложение 2'!E134</f>
        <v>0</v>
      </c>
      <c r="E132" s="64"/>
      <c r="F132" s="50">
        <f>'Приложение 2'!G134</f>
        <v>599.5982</v>
      </c>
      <c r="G132" s="50">
        <f>'Приложение 2'!H134</f>
        <v>0</v>
      </c>
      <c r="H132" s="50">
        <f t="shared" si="1"/>
        <v>0</v>
      </c>
    </row>
    <row r="133" spans="1:8" ht="34.5" customHeight="1" outlineLevel="3">
      <c r="A133" s="37" t="str">
        <f>'Приложение 2'!A135</f>
        <v>Закупка товаров, работ и услуг для государственных (муниципальных) нужд (Субсидии бюджетам муниципальных образований Волгоградской области на проведение комплексных кадастровых работ)</v>
      </c>
      <c r="B133" s="64" t="str">
        <f>'Приложение 2'!C135</f>
        <v>0412</v>
      </c>
      <c r="C133" s="64" t="str">
        <f>'Приложение 2'!D135</f>
        <v>09</v>
      </c>
      <c r="D133" s="64">
        <f>'Приложение 2'!E135</f>
        <v>0</v>
      </c>
      <c r="E133" s="64">
        <f>'Приложение 2'!F135</f>
        <v>200</v>
      </c>
      <c r="F133" s="50">
        <f>'Приложение 2'!G135</f>
        <v>539.63838</v>
      </c>
      <c r="G133" s="50">
        <f>'Приложение 2'!H135</f>
        <v>0</v>
      </c>
      <c r="H133" s="50">
        <f t="shared" si="1"/>
        <v>0</v>
      </c>
    </row>
    <row r="134" spans="1:8" ht="27" customHeight="1" hidden="1" outlineLevel="3">
      <c r="A134" s="37" t="str">
        <f>'Приложение 2'!A136</f>
        <v>Закупка товаров, работ и услуг для государственных (муниципальных) нужд (софинансирование)</v>
      </c>
      <c r="B134" s="64" t="str">
        <f>'Приложение 2'!C136</f>
        <v>0412</v>
      </c>
      <c r="C134" s="64" t="str">
        <f>'Приложение 2'!D136</f>
        <v>09</v>
      </c>
      <c r="D134" s="64">
        <f>'Приложение 2'!E136</f>
        <v>0</v>
      </c>
      <c r="E134" s="64">
        <f>'Приложение 2'!F136</f>
        <v>200</v>
      </c>
      <c r="F134" s="50">
        <f>'Приложение 2'!G136</f>
        <v>59.95982</v>
      </c>
      <c r="G134" s="50">
        <f>'Приложение 2'!H136</f>
        <v>0</v>
      </c>
      <c r="H134" s="50">
        <f t="shared" si="1"/>
        <v>0</v>
      </c>
    </row>
    <row r="135" spans="1:8" ht="12.75" outlineLevel="2">
      <c r="A135" s="37" t="str">
        <f>'Приложение 2'!A137</f>
        <v>Жилищно-коммунальное хозяйство</v>
      </c>
      <c r="B135" s="64" t="str">
        <f>'Приложение 2'!C137</f>
        <v>0500</v>
      </c>
      <c r="C135" s="64"/>
      <c r="D135" s="64"/>
      <c r="E135" s="64"/>
      <c r="F135" s="50">
        <f>'Приложение 2'!G137</f>
        <v>21538.600000000002</v>
      </c>
      <c r="G135" s="50">
        <f>'Приложение 2'!H137</f>
        <v>10228.51048</v>
      </c>
      <c r="H135" s="50">
        <f t="shared" si="1"/>
        <v>47.489207655093644</v>
      </c>
    </row>
    <row r="136" spans="1:8" ht="12.75" outlineLevel="3">
      <c r="A136" s="37" t="str">
        <f>'Приложение 2'!A138</f>
        <v>Коммунальное хозяйство</v>
      </c>
      <c r="B136" s="64" t="str">
        <f>'Приложение 2'!C138</f>
        <v>0502</v>
      </c>
      <c r="C136" s="64"/>
      <c r="D136" s="64"/>
      <c r="E136" s="64"/>
      <c r="F136" s="50">
        <f>'Приложение 2'!G138</f>
        <v>14513.2</v>
      </c>
      <c r="G136" s="50">
        <f>'Приложение 2'!H138</f>
        <v>3891.1104800000003</v>
      </c>
      <c r="H136" s="50">
        <f t="shared" si="1"/>
        <v>26.810837582338838</v>
      </c>
    </row>
    <row r="137" spans="1:8" ht="37.5" customHeight="1" outlineLevel="3">
      <c r="A137" s="37" t="str">
        <f>'Приложение 2'!A139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37" s="64" t="str">
        <f>'Приложение 2'!C139</f>
        <v>0502</v>
      </c>
      <c r="C137" s="64" t="str">
        <f>'Приложение 2'!D139</f>
        <v>02</v>
      </c>
      <c r="D137" s="64">
        <f>'Приложение 2'!E139</f>
        <v>0</v>
      </c>
      <c r="E137" s="64"/>
      <c r="F137" s="50">
        <f>'Приложение 2'!G139</f>
        <v>10600</v>
      </c>
      <c r="G137" s="50">
        <f>'Приложение 2'!H139</f>
        <v>600</v>
      </c>
      <c r="H137" s="50">
        <f t="shared" si="1"/>
        <v>5.660377358490567</v>
      </c>
    </row>
    <row r="138" spans="1:8" ht="35.25" customHeight="1" outlineLevel="3">
      <c r="A138" s="37" t="str">
        <f>'Приложение 2'!A140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38" s="64" t="str">
        <f>'Приложение 2'!C140</f>
        <v>0502</v>
      </c>
      <c r="C138" s="64" t="str">
        <f>'Приложение 2'!D140</f>
        <v>02</v>
      </c>
      <c r="D138" s="64">
        <f>'Приложение 2'!E140</f>
        <v>1</v>
      </c>
      <c r="E138" s="64"/>
      <c r="F138" s="50">
        <f>'Приложение 2'!G140</f>
        <v>600</v>
      </c>
      <c r="G138" s="50">
        <f>'Приложение 2'!H140</f>
        <v>600</v>
      </c>
      <c r="H138" s="50">
        <f t="shared" si="1"/>
        <v>100</v>
      </c>
    </row>
    <row r="139" spans="1:8" ht="24.75" customHeight="1" hidden="1" outlineLevel="3">
      <c r="A139" s="37" t="str">
        <f>'Приложение 2'!A141</f>
        <v>Закупка товаров, работ и услуг для государственных (муниципальных) нужд</v>
      </c>
      <c r="B139" s="64" t="str">
        <f>'Приложение 2'!C141</f>
        <v>0502</v>
      </c>
      <c r="C139" s="64" t="str">
        <f>'Приложение 2'!D141</f>
        <v>02</v>
      </c>
      <c r="D139" s="64">
        <f>'Приложение 2'!E141</f>
        <v>1</v>
      </c>
      <c r="E139" s="64">
        <f>'Приложение 2'!F141</f>
        <v>200</v>
      </c>
      <c r="F139" s="50">
        <f>'Приложение 2'!G141</f>
        <v>0</v>
      </c>
      <c r="G139" s="50">
        <f>'Приложение 2'!H141</f>
        <v>0</v>
      </c>
      <c r="H139" s="50" t="e">
        <f aca="true" t="shared" si="2" ref="H139:H202">SUM(G139/F139)*100</f>
        <v>#DIV/0!</v>
      </c>
    </row>
    <row r="140" spans="1:8" ht="36" hidden="1" outlineLevel="3">
      <c r="A140" s="37" t="str">
        <f>'Приложение 2'!A142</f>
        <v>Межбюджетные трансферты за счет средств субсидии на приобретение и монтаж оборудования для доочистки воды (с учетом софинансирования)</v>
      </c>
      <c r="B140" s="64" t="str">
        <f>'Приложение 2'!C142</f>
        <v>0502</v>
      </c>
      <c r="C140" s="64" t="str">
        <f>'Приложение 2'!D142</f>
        <v>02</v>
      </c>
      <c r="D140" s="64">
        <f>'Приложение 2'!E142</f>
        <v>1</v>
      </c>
      <c r="E140" s="64">
        <f>'Приложение 2'!F142</f>
        <v>500</v>
      </c>
      <c r="F140" s="50">
        <f>'Приложение 2'!G142</f>
        <v>0</v>
      </c>
      <c r="G140" s="50">
        <f>'Приложение 2'!H142</f>
        <v>0</v>
      </c>
      <c r="H140" s="50" t="e">
        <f t="shared" si="2"/>
        <v>#DIV/0!</v>
      </c>
    </row>
    <row r="141" spans="1:8" ht="17.25" customHeight="1" outlineLevel="3">
      <c r="A141" s="37" t="str">
        <f>'Приложение 2'!A143</f>
        <v>Межбюджетные трансферты</v>
      </c>
      <c r="B141" s="64" t="str">
        <f>'Приложение 2'!C143</f>
        <v>0502</v>
      </c>
      <c r="C141" s="64" t="str">
        <f>'Приложение 2'!D143</f>
        <v>02</v>
      </c>
      <c r="D141" s="64">
        <f>'Приложение 2'!E143</f>
        <v>1</v>
      </c>
      <c r="E141" s="64">
        <f>'Приложение 2'!F143</f>
        <v>500</v>
      </c>
      <c r="F141" s="50">
        <f>'Приложение 2'!G143</f>
        <v>600</v>
      </c>
      <c r="G141" s="50">
        <f>'Приложение 2'!H143</f>
        <v>600</v>
      </c>
      <c r="H141" s="50">
        <f t="shared" si="2"/>
        <v>100</v>
      </c>
    </row>
    <row r="142" spans="1:8" ht="36" hidden="1" outlineLevel="3">
      <c r="A142" s="37" t="str">
        <f>'Приложение 2'!A144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42" s="64" t="str">
        <f>'Приложение 2'!C144</f>
        <v>0502</v>
      </c>
      <c r="C142" s="64" t="str">
        <f>'Приложение 2'!D144</f>
        <v>02</v>
      </c>
      <c r="D142" s="64">
        <f>'Приложение 2'!E144</f>
        <v>3</v>
      </c>
      <c r="E142" s="64"/>
      <c r="F142" s="50">
        <f>'Приложение 2'!G144</f>
        <v>10000</v>
      </c>
      <c r="G142" s="50">
        <f>'Приложение 2'!H144</f>
        <v>0</v>
      </c>
      <c r="H142" s="50">
        <f t="shared" si="2"/>
        <v>0</v>
      </c>
    </row>
    <row r="143" spans="1:8" ht="24" hidden="1" outlineLevel="3">
      <c r="A143" s="37" t="str">
        <f>'Приложение 2'!A145</f>
        <v>Капитальные вложения в объекты государственной (муниципальной) собственности</v>
      </c>
      <c r="B143" s="64" t="str">
        <f>'Приложение 2'!C145</f>
        <v>0502</v>
      </c>
      <c r="C143" s="64" t="str">
        <f>'Приложение 2'!D145</f>
        <v>02</v>
      </c>
      <c r="D143" s="64">
        <f>'Приложение 2'!E145</f>
        <v>3</v>
      </c>
      <c r="E143" s="64">
        <f>'Приложение 2'!F145</f>
        <v>400</v>
      </c>
      <c r="F143" s="50">
        <f>'Приложение 2'!G145</f>
        <v>10000</v>
      </c>
      <c r="G143" s="50">
        <f>'Приложение 2'!H145</f>
        <v>0</v>
      </c>
      <c r="H143" s="50">
        <f t="shared" si="2"/>
        <v>0</v>
      </c>
    </row>
    <row r="144" spans="1:8" ht="60" outlineLevel="3">
      <c r="A144" s="37" t="str">
        <f>'Приложение 2'!A146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v>
      </c>
      <c r="B144" s="64" t="str">
        <f>'Приложение 2'!C146</f>
        <v>0502</v>
      </c>
      <c r="C144" s="64" t="str">
        <f>'Приложение 2'!D146</f>
        <v>51</v>
      </c>
      <c r="D144" s="64">
        <f>'Приложение 2'!E146</f>
        <v>0</v>
      </c>
      <c r="E144" s="64"/>
      <c r="F144" s="50">
        <f>'Приложение 2'!G146</f>
        <v>3500</v>
      </c>
      <c r="G144" s="50">
        <f>'Приложение 2'!H146</f>
        <v>3179.76069</v>
      </c>
      <c r="H144" s="50">
        <f t="shared" si="2"/>
        <v>90.85030542857143</v>
      </c>
    </row>
    <row r="145" spans="1:8" ht="24" outlineLevel="3">
      <c r="A145" s="37" t="str">
        <f>'Приложение 2'!A147</f>
        <v>Предоставление субсидий бюджетным, автономным учреждениям и иным некоммерческим организациям</v>
      </c>
      <c r="B145" s="64" t="str">
        <f>'Приложение 2'!C147</f>
        <v>0502</v>
      </c>
      <c r="C145" s="64" t="str">
        <f>'Приложение 2'!D147</f>
        <v>51</v>
      </c>
      <c r="D145" s="64">
        <f>'Приложение 2'!E147</f>
        <v>0</v>
      </c>
      <c r="E145" s="64">
        <f>'Приложение 2'!F147</f>
        <v>600</v>
      </c>
      <c r="F145" s="50">
        <f>'Приложение 2'!G147</f>
        <v>3500</v>
      </c>
      <c r="G145" s="50">
        <f>'Приложение 2'!H147</f>
        <v>3179.76069</v>
      </c>
      <c r="H145" s="50">
        <f t="shared" si="2"/>
        <v>90.85030542857143</v>
      </c>
    </row>
    <row r="146" spans="1:8" ht="50.25" customHeight="1" outlineLevel="1">
      <c r="A146" s="37" t="str">
        <f>'Приложение 2'!A148</f>
        <v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v>
      </c>
      <c r="B146" s="64" t="str">
        <f>'Приложение 2'!C148</f>
        <v>0502</v>
      </c>
      <c r="C146" s="64"/>
      <c r="D146" s="64"/>
      <c r="E146" s="64"/>
      <c r="F146" s="50">
        <f>'Приложение 2'!G148</f>
        <v>413.20000000000005</v>
      </c>
      <c r="G146" s="50">
        <f>'Приложение 2'!H148</f>
        <v>111.34979</v>
      </c>
      <c r="H146" s="50">
        <f t="shared" si="2"/>
        <v>26.9481582768635</v>
      </c>
    </row>
    <row r="147" spans="1:8" ht="24" outlineLevel="1">
      <c r="A147" s="37" t="str">
        <f>'Приложение 2'!A149</f>
        <v>Непрограммные расходы органов местного самоуправления Алексеевского муниципального района</v>
      </c>
      <c r="B147" s="64" t="str">
        <f>'Приложение 2'!C149</f>
        <v>0502</v>
      </c>
      <c r="C147" s="64" t="str">
        <f>'Приложение 2'!D149</f>
        <v>99</v>
      </c>
      <c r="D147" s="64">
        <f>'Приложение 2'!E149</f>
        <v>0</v>
      </c>
      <c r="E147" s="64"/>
      <c r="F147" s="50">
        <f>'Приложение 2'!G149</f>
        <v>413.20000000000005</v>
      </c>
      <c r="G147" s="50">
        <f>'Приложение 2'!H149</f>
        <v>111.34979</v>
      </c>
      <c r="H147" s="50">
        <f t="shared" si="2"/>
        <v>26.9481582768635</v>
      </c>
    </row>
    <row r="148" spans="1:8" ht="12.75" outlineLevel="1">
      <c r="A148" s="37" t="str">
        <f>'Приложение 2'!A150</f>
        <v>Иные бюджетные ассигнования</v>
      </c>
      <c r="B148" s="64" t="str">
        <f>'Приложение 2'!C150</f>
        <v>0502</v>
      </c>
      <c r="C148" s="64" t="str">
        <f>'Приложение 2'!D150</f>
        <v>99</v>
      </c>
      <c r="D148" s="64">
        <f>'Приложение 2'!E150</f>
        <v>0</v>
      </c>
      <c r="E148" s="64">
        <f>'Приложение 2'!F150</f>
        <v>800</v>
      </c>
      <c r="F148" s="50">
        <f>'Приложение 2'!G150</f>
        <v>413.20000000000005</v>
      </c>
      <c r="G148" s="50">
        <f>'Приложение 2'!H150</f>
        <v>111.34979</v>
      </c>
      <c r="H148" s="50">
        <f t="shared" si="2"/>
        <v>26.9481582768635</v>
      </c>
    </row>
    <row r="149" spans="1:8" ht="12.75" outlineLevel="1">
      <c r="A149" s="37" t="str">
        <f>'Приложение 2'!A151</f>
        <v>Благоустройство</v>
      </c>
      <c r="B149" s="64" t="str">
        <f>'Приложение 2'!C151</f>
        <v>0503</v>
      </c>
      <c r="C149" s="64"/>
      <c r="D149" s="64"/>
      <c r="E149" s="64"/>
      <c r="F149" s="50">
        <f>'Приложение 2'!G151</f>
        <v>7025.400000000001</v>
      </c>
      <c r="G149" s="50">
        <f>'Приложение 2'!H151</f>
        <v>6337.4</v>
      </c>
      <c r="H149" s="50">
        <f t="shared" si="2"/>
        <v>90.20696330458051</v>
      </c>
    </row>
    <row r="150" spans="1:8" ht="24" outlineLevel="1">
      <c r="A150" s="37" t="str">
        <f>'Приложение 2'!A152</f>
        <v>Непрограммные расходы органов местного самоуправления Алексеевского муниципального района</v>
      </c>
      <c r="B150" s="64" t="str">
        <f>'Приложение 2'!C152</f>
        <v>0503</v>
      </c>
      <c r="C150" s="64" t="str">
        <f>'Приложение 2'!D152</f>
        <v>99</v>
      </c>
      <c r="D150" s="64">
        <f>'Приложение 2'!E152</f>
        <v>0</v>
      </c>
      <c r="E150" s="64"/>
      <c r="F150" s="50">
        <f>'Приложение 2'!G152</f>
        <v>4511.3</v>
      </c>
      <c r="G150" s="50">
        <f>'Приложение 2'!H152</f>
        <v>3823.3</v>
      </c>
      <c r="H150" s="50">
        <f t="shared" si="2"/>
        <v>84.74940704453262</v>
      </c>
    </row>
    <row r="151" spans="1:8" ht="47.25" customHeight="1" outlineLevel="1">
      <c r="A151" s="37" t="str">
        <f>'Приложение 2'!A153</f>
        <v>Межбюджетные трансферты (за счет субсидии из областного бюджета бюджетам муниципальных образований Волгоградской области на содержание объектов благоустройства)</v>
      </c>
      <c r="B151" s="64" t="str">
        <f>'Приложение 2'!C153</f>
        <v>0503</v>
      </c>
      <c r="C151" s="64" t="str">
        <f>'Приложение 2'!D153</f>
        <v>99</v>
      </c>
      <c r="D151" s="64">
        <f>'Приложение 2'!E153</f>
        <v>0</v>
      </c>
      <c r="E151" s="64">
        <f>'Приложение 2'!F153</f>
        <v>500</v>
      </c>
      <c r="F151" s="50">
        <f>'Приложение 2'!G153</f>
        <v>4511.3</v>
      </c>
      <c r="G151" s="50">
        <f>'Приложение 2'!H153</f>
        <v>3823.3</v>
      </c>
      <c r="H151" s="50">
        <f t="shared" si="2"/>
        <v>84.74940704453262</v>
      </c>
    </row>
    <row r="152" spans="1:8" ht="1.5" customHeight="1" hidden="1" outlineLevel="1">
      <c r="A152" s="37" t="str">
        <f>'Приложение 2'!A154</f>
        <v>Содержание на территории муниципального района межпоселенческих мест захоронения, организация ритуальных услуг</v>
      </c>
      <c r="B152" s="64" t="str">
        <f>'Приложение 2'!C154</f>
        <v>0503</v>
      </c>
      <c r="C152" s="64" t="str">
        <f>'Приложение 2'!D154</f>
        <v>99</v>
      </c>
      <c r="D152" s="64">
        <f>'Приложение 2'!E154</f>
        <v>0</v>
      </c>
      <c r="E152" s="64">
        <f>'Приложение 2'!F154</f>
        <v>200</v>
      </c>
      <c r="F152" s="50">
        <f>'Приложение 2'!G154</f>
        <v>0</v>
      </c>
      <c r="G152" s="50">
        <f>'Приложение 2'!H154</f>
        <v>0</v>
      </c>
      <c r="H152" s="50" t="e">
        <f t="shared" si="2"/>
        <v>#DIV/0!</v>
      </c>
    </row>
    <row r="153" spans="1:8" ht="24" outlineLevel="1">
      <c r="A153" s="37" t="str">
        <f>'Приложение 2'!A155</f>
        <v>Муниципальная программа "Комплексное развитие сельских территорий"</v>
      </c>
      <c r="B153" s="64" t="str">
        <f>'Приложение 2'!C155</f>
        <v>0503</v>
      </c>
      <c r="C153" s="64" t="str">
        <f>'Приложение 2'!D155</f>
        <v>03</v>
      </c>
      <c r="D153" s="64">
        <f>'Приложение 2'!E155</f>
        <v>0</v>
      </c>
      <c r="E153" s="64"/>
      <c r="F153" s="50">
        <f>'Приложение 2'!G155</f>
        <v>2514.1000000000004</v>
      </c>
      <c r="G153" s="50">
        <f>'Приложение 2'!H155</f>
        <v>2514.1</v>
      </c>
      <c r="H153" s="50">
        <f t="shared" si="2"/>
        <v>99.99999999999997</v>
      </c>
    </row>
    <row r="154" spans="1:8" ht="24" outlineLevel="1">
      <c r="A154" s="37" t="str">
        <f>'Приложение 2'!A156</f>
        <v>Предоставление субсидий бюджетным, автономным учреждениям и иным некоммерческим организациям</v>
      </c>
      <c r="B154" s="64" t="str">
        <f>'Приложение 2'!C156</f>
        <v>0503</v>
      </c>
      <c r="C154" s="64" t="str">
        <f>'Приложение 2'!D156</f>
        <v>03</v>
      </c>
      <c r="D154" s="64">
        <f>'Приложение 2'!E156</f>
        <v>0</v>
      </c>
      <c r="E154" s="64">
        <f>'Приложение 2'!F156</f>
        <v>600</v>
      </c>
      <c r="F154" s="50">
        <f>'Приложение 2'!G156</f>
        <v>2514.1000000000004</v>
      </c>
      <c r="G154" s="50">
        <f>'Приложение 2'!H156</f>
        <v>2514.1</v>
      </c>
      <c r="H154" s="50">
        <f t="shared" si="2"/>
        <v>99.99999999999997</v>
      </c>
    </row>
    <row r="155" spans="1:8" ht="12.75" outlineLevel="2">
      <c r="A155" s="37" t="str">
        <f>'Приложение 2'!A157</f>
        <v>Охрана окружающей среды</v>
      </c>
      <c r="B155" s="64" t="str">
        <f>'Приложение 2'!C157</f>
        <v>0600</v>
      </c>
      <c r="C155" s="64">
        <f>'Приложение 2'!D157</f>
        <v>0</v>
      </c>
      <c r="D155" s="64">
        <f>'Приложение 2'!E157</f>
        <v>0</v>
      </c>
      <c r="E155" s="64"/>
      <c r="F155" s="50">
        <f>'Приложение 2'!G157</f>
        <v>20</v>
      </c>
      <c r="G155" s="50">
        <f>'Приложение 2'!H157</f>
        <v>0</v>
      </c>
      <c r="H155" s="50">
        <f t="shared" si="2"/>
        <v>0</v>
      </c>
    </row>
    <row r="156" spans="1:8" ht="24" outlineLevel="5">
      <c r="A156" s="37" t="str">
        <f>'Приложение 2'!A158</f>
        <v>Муниципальная программа "Охрана окружающей среды Алексеевского муниципального района на 2019-2023 годы"</v>
      </c>
      <c r="B156" s="64" t="str">
        <f>'Приложение 2'!C158</f>
        <v>0605</v>
      </c>
      <c r="C156" s="64" t="str">
        <f>'Приложение 2'!D158</f>
        <v>05</v>
      </c>
      <c r="D156" s="64">
        <f>'Приложение 2'!E158</f>
        <v>0</v>
      </c>
      <c r="E156" s="64"/>
      <c r="F156" s="50">
        <f>'Приложение 2'!G158</f>
        <v>20</v>
      </c>
      <c r="G156" s="50">
        <f>'Приложение 2'!H158</f>
        <v>0</v>
      </c>
      <c r="H156" s="50">
        <f t="shared" si="2"/>
        <v>0</v>
      </c>
    </row>
    <row r="157" spans="1:8" ht="24" outlineLevel="5">
      <c r="A157" s="37" t="str">
        <f>'Приложение 2'!A159</f>
        <v>Закупка товаров, работ и услуг для государственных (муниципальных) нужд</v>
      </c>
      <c r="B157" s="64" t="str">
        <f>'Приложение 2'!C159</f>
        <v>0605</v>
      </c>
      <c r="C157" s="64" t="str">
        <f>'Приложение 2'!D159</f>
        <v>05</v>
      </c>
      <c r="D157" s="64">
        <f>'Приложение 2'!E159</f>
        <v>0</v>
      </c>
      <c r="E157" s="64">
        <f>'Приложение 2'!F159</f>
        <v>200</v>
      </c>
      <c r="F157" s="50">
        <f>'Приложение 2'!G159</f>
        <v>20</v>
      </c>
      <c r="G157" s="50">
        <f>'Приложение 2'!H159</f>
        <v>0</v>
      </c>
      <c r="H157" s="50">
        <f t="shared" si="2"/>
        <v>0</v>
      </c>
    </row>
    <row r="158" spans="1:8" ht="24" hidden="1" outlineLevel="5">
      <c r="A158" s="37" t="str">
        <f>'Приложение 2'!A160</f>
        <v>Предоставление субсидий бюджетным, автономным учреждениям и иным некоммерческим организациям</v>
      </c>
      <c r="B158" s="64" t="str">
        <f>'Приложение 2'!C160</f>
        <v>0605</v>
      </c>
      <c r="C158" s="64" t="str">
        <f>'Приложение 2'!D160</f>
        <v>05</v>
      </c>
      <c r="D158" s="64">
        <f>'Приложение 2'!E160</f>
        <v>0</v>
      </c>
      <c r="E158" s="64">
        <f>'Приложение 2'!F160</f>
        <v>600</v>
      </c>
      <c r="F158" s="50">
        <f>'Приложение 2'!G160</f>
        <v>0</v>
      </c>
      <c r="G158" s="50">
        <f>'Приложение 2'!H160</f>
        <v>0</v>
      </c>
      <c r="H158" s="50" t="e">
        <f t="shared" si="2"/>
        <v>#DIV/0!</v>
      </c>
    </row>
    <row r="159" spans="1:8" ht="12.75" outlineLevel="5">
      <c r="A159" s="37" t="str">
        <f>'Приложение 2'!A161</f>
        <v>Образование</v>
      </c>
      <c r="B159" s="64" t="str">
        <f>'Приложение 2'!C161</f>
        <v>0700</v>
      </c>
      <c r="C159" s="64"/>
      <c r="D159" s="64"/>
      <c r="E159" s="64"/>
      <c r="F159" s="50">
        <f>'Приложение 2'!G161</f>
        <v>287653.86058000004</v>
      </c>
      <c r="G159" s="50">
        <f>'Приложение 2'!H161</f>
        <v>185636.48421000008</v>
      </c>
      <c r="H159" s="50">
        <f t="shared" si="2"/>
        <v>64.53467505553338</v>
      </c>
    </row>
    <row r="160" spans="1:8" ht="12.75" outlineLevel="2">
      <c r="A160" s="37" t="str">
        <f>'Приложение 2'!A162</f>
        <v>Дошкольное образование</v>
      </c>
      <c r="B160" s="64" t="str">
        <f>'Приложение 2'!C162</f>
        <v>0701</v>
      </c>
      <c r="C160" s="64"/>
      <c r="D160" s="64"/>
      <c r="E160" s="64"/>
      <c r="F160" s="50">
        <f>'Приложение 2'!G162</f>
        <v>39010.24885</v>
      </c>
      <c r="G160" s="50">
        <f>'Приложение 2'!H162</f>
        <v>26826.803969999994</v>
      </c>
      <c r="H160" s="50">
        <f t="shared" si="2"/>
        <v>68.76860507389455</v>
      </c>
    </row>
    <row r="161" spans="1:8" ht="35.25" customHeight="1" outlineLevel="2">
      <c r="A161" s="37" t="str">
        <f>'Приложение 2'!A163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61" s="64" t="str">
        <f>'Приложение 2'!C163</f>
        <v>0701</v>
      </c>
      <c r="C161" s="64" t="str">
        <f>'Приложение 2'!D163</f>
        <v>02</v>
      </c>
      <c r="D161" s="64">
        <f>'Приложение 2'!E163</f>
        <v>0</v>
      </c>
      <c r="E161" s="64"/>
      <c r="F161" s="50">
        <f>'Приложение 2'!G163</f>
        <v>270.55233</v>
      </c>
      <c r="G161" s="50">
        <f>'Приложение 2'!H163</f>
        <v>65.904</v>
      </c>
      <c r="H161" s="50">
        <f t="shared" si="2"/>
        <v>24.35905837513948</v>
      </c>
    </row>
    <row r="162" spans="1:8" ht="36" hidden="1" outlineLevel="2">
      <c r="A162" s="37" t="str">
        <f>'Приложение 2'!A164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62" s="64" t="str">
        <f>'Приложение 2'!C164</f>
        <v>0701</v>
      </c>
      <c r="C162" s="64" t="str">
        <f>'Приложение 2'!D164</f>
        <v>02</v>
      </c>
      <c r="D162" s="64">
        <f>'Приложение 2'!E164</f>
        <v>3</v>
      </c>
      <c r="E162" s="64"/>
      <c r="F162" s="50">
        <f>'Приложение 2'!G164</f>
        <v>0</v>
      </c>
      <c r="G162" s="50">
        <f>'Приложение 2'!H164</f>
        <v>0</v>
      </c>
      <c r="H162" s="50" t="e">
        <f t="shared" si="2"/>
        <v>#DIV/0!</v>
      </c>
    </row>
    <row r="163" spans="1:8" ht="21" customHeight="1" hidden="1" outlineLevel="2">
      <c r="A163" s="37" t="str">
        <f>'Приложение 2'!A165</f>
        <v>Капитальные вложения в объекты государственной (муниципальной) собственности</v>
      </c>
      <c r="B163" s="64" t="str">
        <f>'Приложение 2'!C165</f>
        <v>0701</v>
      </c>
      <c r="C163" s="64" t="str">
        <f>'Приложение 2'!D165</f>
        <v>02</v>
      </c>
      <c r="D163" s="64">
        <f>'Приложение 2'!E165</f>
        <v>3</v>
      </c>
      <c r="E163" s="64" t="s">
        <v>257</v>
      </c>
      <c r="F163" s="50">
        <f>'Приложение 2'!G165</f>
        <v>0</v>
      </c>
      <c r="G163" s="50">
        <f>'Приложение 2'!H165</f>
        <v>0</v>
      </c>
      <c r="H163" s="50" t="e">
        <f t="shared" si="2"/>
        <v>#DIV/0!</v>
      </c>
    </row>
    <row r="164" spans="1:8" ht="24" hidden="1" outlineLevel="2">
      <c r="A164" s="37" t="str">
        <f>'Приложение 2'!A166</f>
        <v>Предоставление субсидий бюджетным, автономным учреждениям и иным некоммерческим организациям</v>
      </c>
      <c r="B164" s="64" t="str">
        <f>'Приложение 2'!C166</f>
        <v>0701</v>
      </c>
      <c r="C164" s="64" t="str">
        <f>'Приложение 2'!D166</f>
        <v>02</v>
      </c>
      <c r="D164" s="64">
        <f>'Приложение 2'!E166</f>
        <v>3</v>
      </c>
      <c r="E164" s="64">
        <f>'Приложение 2'!F166</f>
        <v>600</v>
      </c>
      <c r="F164" s="50">
        <f>'Приложение 2'!G166</f>
        <v>0</v>
      </c>
      <c r="G164" s="50">
        <f>'Приложение 2'!H166</f>
        <v>0</v>
      </c>
      <c r="H164" s="50" t="e">
        <f t="shared" si="2"/>
        <v>#DIV/0!</v>
      </c>
    </row>
    <row r="165" spans="1:8" ht="38.25" customHeight="1" outlineLevel="2">
      <c r="A165" s="37" t="str">
        <f>'Приложение 2'!A167</f>
        <v>Подпрограмма "Энергосбережение и повышение энергетической эффективности Алексеевского муниципального района"</v>
      </c>
      <c r="B165" s="64" t="str">
        <f>'Приложение 2'!C167</f>
        <v>0701</v>
      </c>
      <c r="C165" s="64" t="str">
        <f>'Приложение 2'!D167</f>
        <v>02</v>
      </c>
      <c r="D165" s="64">
        <f>'Приложение 2'!E167</f>
        <v>4</v>
      </c>
      <c r="E165" s="64"/>
      <c r="F165" s="50">
        <f>'Приложение 2'!G167</f>
        <v>270.55233</v>
      </c>
      <c r="G165" s="50">
        <f>'Приложение 2'!H167</f>
        <v>65.904</v>
      </c>
      <c r="H165" s="50">
        <f t="shared" si="2"/>
        <v>24.35905837513948</v>
      </c>
    </row>
    <row r="166" spans="1:8" ht="24" outlineLevel="2">
      <c r="A166" s="37" t="str">
        <f>'Приложение 2'!A168</f>
        <v>Предоставление субсидий бюджетным, автономным учреждениям и иным некоммерческим организациям</v>
      </c>
      <c r="B166" s="64" t="str">
        <f>'Приложение 2'!C168</f>
        <v>0701</v>
      </c>
      <c r="C166" s="64" t="str">
        <f>'Приложение 2'!D168</f>
        <v>02</v>
      </c>
      <c r="D166" s="64">
        <f>'Приложение 2'!E168</f>
        <v>4</v>
      </c>
      <c r="E166" s="64">
        <f>'Приложение 2'!F168</f>
        <v>600</v>
      </c>
      <c r="F166" s="50">
        <f>'Приложение 2'!G168</f>
        <v>270.55233</v>
      </c>
      <c r="G166" s="50">
        <f>'Приложение 2'!H168</f>
        <v>65.904</v>
      </c>
      <c r="H166" s="50">
        <f t="shared" si="2"/>
        <v>24.35905837513948</v>
      </c>
    </row>
    <row r="167" spans="1:8" ht="96" outlineLevel="2">
      <c r="A167" s="37" t="str">
        <f>'Приложение 2'!A169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v>
      </c>
      <c r="B167" s="64" t="str">
        <f>'Приложение 2'!C169</f>
        <v>0701</v>
      </c>
      <c r="C167" s="64" t="str">
        <f>'Приложение 2'!D169</f>
        <v>22</v>
      </c>
      <c r="D167" s="64">
        <f>'Приложение 2'!E169</f>
        <v>0</v>
      </c>
      <c r="E167" s="64"/>
      <c r="F167" s="50">
        <f>'Приложение 2'!G169</f>
        <v>128.54496</v>
      </c>
      <c r="G167" s="50">
        <f>'Приложение 2'!H169</f>
        <v>0</v>
      </c>
      <c r="H167" s="50">
        <f t="shared" si="2"/>
        <v>0</v>
      </c>
    </row>
    <row r="168" spans="1:8" ht="24" outlineLevel="2">
      <c r="A168" s="37" t="str">
        <f>'Приложение 2'!A170</f>
        <v>Предоставление субсидий бюджетным, автономным учреждениям и иным некоммерческим организациям</v>
      </c>
      <c r="B168" s="64" t="str">
        <f>'Приложение 2'!C170</f>
        <v>0701</v>
      </c>
      <c r="C168" s="64" t="str">
        <f>'Приложение 2'!D170</f>
        <v>22</v>
      </c>
      <c r="D168" s="64">
        <f>'Приложение 2'!E170</f>
        <v>0</v>
      </c>
      <c r="E168" s="64">
        <f>'Приложение 2'!F170</f>
        <v>600</v>
      </c>
      <c r="F168" s="50">
        <f>'Приложение 2'!G170</f>
        <v>128.54496</v>
      </c>
      <c r="G168" s="50">
        <f>'Приложение 2'!H170</f>
        <v>0</v>
      </c>
      <c r="H168" s="50">
        <f t="shared" si="2"/>
        <v>0</v>
      </c>
    </row>
    <row r="169" spans="1:8" ht="36" outlineLevel="2">
      <c r="A169" s="37" t="str">
        <f>'Приложение 2'!A171</f>
        <v>Ведомственная целевая программа "Развитие дошкольного образования детей на территории Алексеевского муниципального района на 2022-2024 годы"</v>
      </c>
      <c r="B169" s="64" t="str">
        <f>'Приложение 2'!C171</f>
        <v>0701</v>
      </c>
      <c r="C169" s="64" t="str">
        <f>'Приложение 2'!D171</f>
        <v>52</v>
      </c>
      <c r="D169" s="64">
        <f>'Приложение 2'!E171</f>
        <v>0</v>
      </c>
      <c r="E169" s="64"/>
      <c r="F169" s="50">
        <f>'Приложение 2'!G171</f>
        <v>25422.151560000002</v>
      </c>
      <c r="G169" s="50">
        <f>'Приложение 2'!H171</f>
        <v>18095.140629999998</v>
      </c>
      <c r="H169" s="50">
        <f t="shared" si="2"/>
        <v>71.17863563708529</v>
      </c>
    </row>
    <row r="170" spans="1:8" ht="24" outlineLevel="2">
      <c r="A170" s="37" t="str">
        <f>'Приложение 2'!A172</f>
        <v>Предоставление субсидий бюджетным, автономным учреждениям и иным некоммерческим организациям</v>
      </c>
      <c r="B170" s="64" t="str">
        <f>'Приложение 2'!C172</f>
        <v>0701</v>
      </c>
      <c r="C170" s="64" t="str">
        <f>'Приложение 2'!D172</f>
        <v>52</v>
      </c>
      <c r="D170" s="64">
        <f>'Приложение 2'!E172</f>
        <v>0</v>
      </c>
      <c r="E170" s="64">
        <f>'Приложение 2'!F172</f>
        <v>600</v>
      </c>
      <c r="F170" s="50">
        <f>'Приложение 2'!G172</f>
        <v>10500</v>
      </c>
      <c r="G170" s="50">
        <f>'Приложение 2'!H172</f>
        <v>7516.73676</v>
      </c>
      <c r="H170" s="50">
        <f t="shared" si="2"/>
        <v>71.58796914285715</v>
      </c>
    </row>
    <row r="171" spans="1:8" ht="36" outlineLevel="2">
      <c r="A171" s="37" t="str">
        <f>'Приложение 2'!A173</f>
        <v>За счет средств областного бюджета на осуществление образовательного процесса муниципальными дошкольными образовательными организациями</v>
      </c>
      <c r="B171" s="64" t="str">
        <f>'Приложение 2'!C173</f>
        <v>0701</v>
      </c>
      <c r="C171" s="64" t="str">
        <f>'Приложение 2'!D173</f>
        <v>52</v>
      </c>
      <c r="D171" s="64">
        <f>'Приложение 2'!E173</f>
        <v>0</v>
      </c>
      <c r="E171" s="64">
        <f>'Приложение 2'!F173</f>
        <v>600</v>
      </c>
      <c r="F171" s="50">
        <f>'Приложение 2'!G173</f>
        <v>14906.4</v>
      </c>
      <c r="G171" s="50">
        <f>'Приложение 2'!H173</f>
        <v>10562.65231</v>
      </c>
      <c r="H171" s="50">
        <f t="shared" si="2"/>
        <v>70.85984751516126</v>
      </c>
    </row>
    <row r="172" spans="1:8" ht="46.5" customHeight="1" hidden="1" outlineLevel="2">
      <c r="A172" s="37" t="str">
        <f>'Приложение 2'!A174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72" s="64" t="str">
        <f>'Приложение 2'!C174</f>
        <v>0701</v>
      </c>
      <c r="C172" s="64" t="str">
        <f>'Приложение 2'!D174</f>
        <v>52</v>
      </c>
      <c r="D172" s="64">
        <f>'Приложение 2'!E174</f>
        <v>0</v>
      </c>
      <c r="E172" s="64">
        <f>'Приложение 2'!F174</f>
        <v>600</v>
      </c>
      <c r="F172" s="50">
        <f>'Приложение 2'!G174</f>
        <v>0</v>
      </c>
      <c r="G172" s="50">
        <f>'Приложение 2'!H174</f>
        <v>0</v>
      </c>
      <c r="H172" s="50" t="e">
        <f t="shared" si="2"/>
        <v>#DIV/0!</v>
      </c>
    </row>
    <row r="173" spans="1:8" ht="23.25" customHeight="1" outlineLevel="2">
      <c r="A173" s="37" t="str">
        <f>'Приложение 2'!A175</f>
        <v>За счет средств на расходы на осуществление социальных гарантий молодым специалистам</v>
      </c>
      <c r="B173" s="64" t="str">
        <f>'Приложение 2'!C175</f>
        <v>0701</v>
      </c>
      <c r="C173" s="64" t="str">
        <f>'Приложение 2'!D175</f>
        <v>52</v>
      </c>
      <c r="D173" s="64">
        <f>'Приложение 2'!E175</f>
        <v>0</v>
      </c>
      <c r="E173" s="64">
        <f>'Приложение 2'!F175</f>
        <v>600</v>
      </c>
      <c r="F173" s="50">
        <f>'Приложение 2'!G175</f>
        <v>15.751559999999998</v>
      </c>
      <c r="G173" s="50">
        <f>'Приложение 2'!H175</f>
        <v>15.75156</v>
      </c>
      <c r="H173" s="50">
        <f t="shared" si="2"/>
        <v>100.00000000000003</v>
      </c>
    </row>
    <row r="174" spans="1:8" ht="108" hidden="1" outlineLevel="2">
      <c r="A174" s="37" t="str">
        <f>'Приложение 2'!A176</f>
        <v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74" s="64" t="str">
        <f>'Приложение 2'!C176</f>
        <v>0701</v>
      </c>
      <c r="C174" s="64" t="str">
        <f>'Приложение 2'!D176</f>
        <v>52</v>
      </c>
      <c r="D174" s="64">
        <f>'Приложение 2'!E176</f>
        <v>0</v>
      </c>
      <c r="E174" s="64">
        <f>'Приложение 2'!F176</f>
        <v>600</v>
      </c>
      <c r="F174" s="50">
        <f>'Приложение 2'!G176</f>
        <v>0</v>
      </c>
      <c r="G174" s="50">
        <f>'Приложение 2'!H176</f>
        <v>0</v>
      </c>
      <c r="H174" s="50" t="e">
        <f t="shared" si="2"/>
        <v>#DIV/0!</v>
      </c>
    </row>
    <row r="175" spans="1:8" ht="36" outlineLevel="2">
      <c r="A175" s="37" t="str">
        <f>'Приложение 2'!A177</f>
        <v>Муниципальная программа "Развитие образования детей на территории Алексеевского муниципального района на 2023-2025 годы"</v>
      </c>
      <c r="B175" s="64" t="str">
        <f>'Приложение 2'!C177</f>
        <v>0701</v>
      </c>
      <c r="C175" s="64" t="str">
        <f>'Приложение 2'!D177</f>
        <v>53</v>
      </c>
      <c r="D175" s="64">
        <f>'Приложение 2'!E177</f>
        <v>0</v>
      </c>
      <c r="E175" s="64"/>
      <c r="F175" s="50">
        <f>'Приложение 2'!G177</f>
        <v>13010</v>
      </c>
      <c r="G175" s="50">
        <f>'Приложение 2'!H177</f>
        <v>8579.22184</v>
      </c>
      <c r="H175" s="50">
        <f t="shared" si="2"/>
        <v>65.94328854727132</v>
      </c>
    </row>
    <row r="176" spans="1:8" ht="12.75" outlineLevel="2">
      <c r="A176" s="37" t="str">
        <f>'Приложение 2'!A178</f>
        <v>Подпрограмма "Развитие дошкольного образования детей"</v>
      </c>
      <c r="B176" s="64" t="str">
        <f>'Приложение 2'!C178</f>
        <v>0701</v>
      </c>
      <c r="C176" s="64" t="str">
        <f>'Приложение 2'!D178</f>
        <v>53</v>
      </c>
      <c r="D176" s="64">
        <f>'Приложение 2'!E178</f>
        <v>1</v>
      </c>
      <c r="E176" s="64">
        <f>'Приложение 2'!F178</f>
        <v>0</v>
      </c>
      <c r="F176" s="50">
        <f>'Приложение 2'!G178</f>
        <v>13010</v>
      </c>
      <c r="G176" s="50">
        <f>'Приложение 2'!H178</f>
        <v>8579.22184</v>
      </c>
      <c r="H176" s="50">
        <f t="shared" si="2"/>
        <v>65.94328854727132</v>
      </c>
    </row>
    <row r="177" spans="1:8" ht="74.25" customHeight="1" outlineLevel="2">
      <c r="A177" s="37" t="str">
        <f>'Приложение 2'!A179</f>
        <v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v>
      </c>
      <c r="B177" s="64" t="str">
        <f>'Приложение 2'!C179</f>
        <v>0701</v>
      </c>
      <c r="C177" s="64" t="str">
        <f>'Приложение 2'!D179</f>
        <v>53</v>
      </c>
      <c r="D177" s="64">
        <f>'Приложение 2'!E179</f>
        <v>1</v>
      </c>
      <c r="E177" s="64">
        <f>'Приложение 2'!F179</f>
        <v>600</v>
      </c>
      <c r="F177" s="50">
        <f>'Приложение 2'!G179</f>
        <v>9210</v>
      </c>
      <c r="G177" s="50">
        <f>'Приложение 2'!H179</f>
        <v>5709.91918</v>
      </c>
      <c r="H177" s="50">
        <f t="shared" si="2"/>
        <v>61.996950922909875</v>
      </c>
    </row>
    <row r="178" spans="1:8" ht="51" customHeight="1" hidden="1" outlineLevel="2">
      <c r="A178" s="37" t="str">
        <f>'Приложение 2'!A180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78" s="64" t="str">
        <f>'Приложение 2'!C180</f>
        <v>0701</v>
      </c>
      <c r="C178" s="64" t="str">
        <f>'Приложение 2'!D180</f>
        <v>53</v>
      </c>
      <c r="D178" s="64">
        <f>'Приложение 2'!E180</f>
        <v>1</v>
      </c>
      <c r="E178" s="64">
        <f>'Приложение 2'!F180</f>
        <v>600</v>
      </c>
      <c r="F178" s="50">
        <f>'Приложение 2'!G180</f>
        <v>0</v>
      </c>
      <c r="G178" s="50">
        <f>'Приложение 2'!H180</f>
        <v>0</v>
      </c>
      <c r="H178" s="50" t="e">
        <f t="shared" si="2"/>
        <v>#DIV/0!</v>
      </c>
    </row>
    <row r="179" spans="1:8" ht="24" outlineLevel="2">
      <c r="A179" s="37" t="str">
        <f>'Приложение 2'!A181</f>
        <v>Предоставление субсидий бюджетным, автономным учреждениям и иным некоммерческим организациям</v>
      </c>
      <c r="B179" s="64" t="str">
        <f>'Приложение 2'!C181</f>
        <v>0701</v>
      </c>
      <c r="C179" s="64" t="str">
        <f>'Приложение 2'!D181</f>
        <v>53</v>
      </c>
      <c r="D179" s="64">
        <f>'Приложение 2'!E181</f>
        <v>1</v>
      </c>
      <c r="E179" s="64">
        <f>'Приложение 2'!F181</f>
        <v>600</v>
      </c>
      <c r="F179" s="50">
        <f>'Приложение 2'!G181</f>
        <v>3800</v>
      </c>
      <c r="G179" s="50">
        <f>'Приложение 2'!H181</f>
        <v>2869.30266</v>
      </c>
      <c r="H179" s="50">
        <f t="shared" si="2"/>
        <v>75.5079647368421</v>
      </c>
    </row>
    <row r="180" spans="1:8" ht="24" outlineLevel="2">
      <c r="A180" s="37" t="str">
        <f>'Приложение 2'!A182</f>
        <v>Непрограммные расходы органов местного самоуправления Алексеевского муниципального района</v>
      </c>
      <c r="B180" s="64" t="str">
        <f>'Приложение 2'!C182</f>
        <v>0701</v>
      </c>
      <c r="C180" s="64" t="str">
        <f>'Приложение 2'!D182</f>
        <v>99</v>
      </c>
      <c r="D180" s="64">
        <f>'Приложение 2'!E182</f>
        <v>0</v>
      </c>
      <c r="E180" s="64"/>
      <c r="F180" s="50">
        <f>'Приложение 2'!G182</f>
        <v>179</v>
      </c>
      <c r="G180" s="50">
        <f>'Приложение 2'!H182</f>
        <v>86.5375</v>
      </c>
      <c r="H180" s="50">
        <f t="shared" si="2"/>
        <v>48.3449720670391</v>
      </c>
    </row>
    <row r="181" spans="1:8" ht="16.5" customHeight="1" outlineLevel="2">
      <c r="A181" s="37" t="str">
        <f>'Приложение 2'!A183</f>
        <v>Резервный фонд Администрации Волгоградской области</v>
      </c>
      <c r="B181" s="64" t="str">
        <f>'Приложение 2'!C183</f>
        <v>0701</v>
      </c>
      <c r="C181" s="64" t="str">
        <f>'Приложение 2'!D183</f>
        <v>99</v>
      </c>
      <c r="D181" s="64">
        <f>'Приложение 2'!E183</f>
        <v>0</v>
      </c>
      <c r="E181" s="64">
        <f>'Приложение 2'!F183</f>
        <v>0</v>
      </c>
      <c r="F181" s="50">
        <f>'Приложение 2'!G183</f>
        <v>179</v>
      </c>
      <c r="G181" s="50">
        <f>'Приложение 2'!H183</f>
        <v>86.5375</v>
      </c>
      <c r="H181" s="50">
        <f t="shared" si="2"/>
        <v>48.3449720670391</v>
      </c>
    </row>
    <row r="182" spans="1:8" ht="24" outlineLevel="2">
      <c r="A182" s="37" t="str">
        <f>'Приложение 2'!A184</f>
        <v>Предоставление субсидий бюджетным, автономным учреждениям и иным некоммерческим организациям</v>
      </c>
      <c r="B182" s="64" t="str">
        <f>'Приложение 2'!C184</f>
        <v>0701</v>
      </c>
      <c r="C182" s="64" t="str">
        <f>'Приложение 2'!D184</f>
        <v>99</v>
      </c>
      <c r="D182" s="64">
        <f>'Приложение 2'!E184</f>
        <v>0</v>
      </c>
      <c r="E182" s="64">
        <f>'Приложение 2'!F184</f>
        <v>600</v>
      </c>
      <c r="F182" s="50">
        <f>'Приложение 2'!G184</f>
        <v>179</v>
      </c>
      <c r="G182" s="50">
        <f>'Приложение 2'!H184</f>
        <v>86.5375</v>
      </c>
      <c r="H182" s="50">
        <f t="shared" si="2"/>
        <v>48.3449720670391</v>
      </c>
    </row>
    <row r="183" spans="1:8" ht="12.75" outlineLevel="5">
      <c r="A183" s="37" t="str">
        <f>'Приложение 2'!A185</f>
        <v>Общее образование</v>
      </c>
      <c r="B183" s="64" t="str">
        <f>'Приложение 2'!C185</f>
        <v>0702</v>
      </c>
      <c r="C183" s="64"/>
      <c r="D183" s="64"/>
      <c r="E183" s="64"/>
      <c r="F183" s="50">
        <f>'Приложение 2'!G185</f>
        <v>224949.80636000002</v>
      </c>
      <c r="G183" s="50">
        <f>'Приложение 2'!H185</f>
        <v>140766.24421000003</v>
      </c>
      <c r="H183" s="50">
        <f t="shared" si="2"/>
        <v>62.576735000484405</v>
      </c>
    </row>
    <row r="184" spans="1:8" ht="24" outlineLevel="5">
      <c r="A184" s="37" t="str">
        <f>'Приложение 2'!A186</f>
        <v>Школы-детские сады, школы начальные, неполные средние и средние</v>
      </c>
      <c r="B184" s="64" t="str">
        <f>'Приложение 2'!C186</f>
        <v>0702</v>
      </c>
      <c r="C184" s="64"/>
      <c r="D184" s="64"/>
      <c r="E184" s="64"/>
      <c r="F184" s="50">
        <f>'Приложение 2'!G186</f>
        <v>224949.80636000002</v>
      </c>
      <c r="G184" s="50">
        <f>'Приложение 2'!H186</f>
        <v>140766.24421000003</v>
      </c>
      <c r="H184" s="50">
        <f t="shared" si="2"/>
        <v>62.576735000484405</v>
      </c>
    </row>
    <row r="185" spans="1:8" ht="37.5" customHeight="1" outlineLevel="5">
      <c r="A185" s="37" t="str">
        <f>'Приложение 2'!A187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85" s="64" t="str">
        <f>'Приложение 2'!C187</f>
        <v>0702</v>
      </c>
      <c r="C185" s="64" t="str">
        <f>'Приложение 2'!D187</f>
        <v>02</v>
      </c>
      <c r="D185" s="64">
        <f>'Приложение 2'!E187</f>
        <v>0</v>
      </c>
      <c r="E185" s="64"/>
      <c r="F185" s="50">
        <f>'Приложение 2'!G187</f>
        <v>9795.609530000002</v>
      </c>
      <c r="G185" s="50">
        <f>'Приложение 2'!H187</f>
        <v>9479.04073</v>
      </c>
      <c r="H185" s="50">
        <f t="shared" si="2"/>
        <v>96.76825827907413</v>
      </c>
    </row>
    <row r="186" spans="1:8" ht="33.75" customHeight="1" outlineLevel="5">
      <c r="A186" s="37" t="str">
        <f>'Приложение 2'!A188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86" s="64" t="str">
        <f>'Приложение 2'!C188</f>
        <v>0702</v>
      </c>
      <c r="C186" s="64" t="str">
        <f>'Приложение 2'!D188</f>
        <v>02</v>
      </c>
      <c r="D186" s="64">
        <f>'Приложение 2'!E188</f>
        <v>3</v>
      </c>
      <c r="E186" s="64"/>
      <c r="F186" s="50">
        <f>'Приложение 2'!G188</f>
        <v>8314.43215</v>
      </c>
      <c r="G186" s="50">
        <f>'Приложение 2'!H188</f>
        <v>8293.97315</v>
      </c>
      <c r="H186" s="50">
        <f t="shared" si="2"/>
        <v>99.75393388711457</v>
      </c>
    </row>
    <row r="187" spans="1:8" ht="24" hidden="1" outlineLevel="5">
      <c r="A187" s="37" t="str">
        <f>'Приложение 2'!A189</f>
        <v>Закупка товаров, работ и услуг для государственных (муниципальных) нужд</v>
      </c>
      <c r="B187" s="64" t="str">
        <f>'Приложение 2'!C189</f>
        <v>0702</v>
      </c>
      <c r="C187" s="64" t="str">
        <f>'Приложение 2'!D189</f>
        <v>02</v>
      </c>
      <c r="D187" s="64">
        <f>'Приложение 2'!E189</f>
        <v>3</v>
      </c>
      <c r="E187" s="64" t="s">
        <v>145</v>
      </c>
      <c r="F187" s="50">
        <f>'Приложение 2'!G189</f>
        <v>0</v>
      </c>
      <c r="G187" s="50">
        <f>'Приложение 2'!H189</f>
        <v>0</v>
      </c>
      <c r="H187" s="50" t="e">
        <f t="shared" si="2"/>
        <v>#DIV/0!</v>
      </c>
    </row>
    <row r="188" spans="1:8" ht="24" outlineLevel="5">
      <c r="A188" s="37" t="str">
        <f>'Приложение 2'!A190</f>
        <v>Предоставление субсидий бюджетным, автономным учреждениям и иным некоммерческим организациям</v>
      </c>
      <c r="B188" s="64" t="str">
        <f>'Приложение 2'!C190</f>
        <v>0702</v>
      </c>
      <c r="C188" s="64" t="str">
        <f>'Приложение 2'!D190</f>
        <v>02</v>
      </c>
      <c r="D188" s="64">
        <f>'Приложение 2'!E190</f>
        <v>3</v>
      </c>
      <c r="E188" s="64">
        <f>'Приложение 2'!F190</f>
        <v>600</v>
      </c>
      <c r="F188" s="50">
        <f>'Приложение 2'!G190</f>
        <v>8314.43215</v>
      </c>
      <c r="G188" s="50">
        <f>'Приложение 2'!H190</f>
        <v>8293.97315</v>
      </c>
      <c r="H188" s="50">
        <f t="shared" si="2"/>
        <v>99.75393388711457</v>
      </c>
    </row>
    <row r="189" spans="1:8" ht="36.75" customHeight="1" outlineLevel="5">
      <c r="A189" s="37" t="str">
        <f>'Приложение 2'!A191</f>
        <v>Подпрограмма "Энергосбережение и повышение энергетической эффективности Алексеевского муниципального района"</v>
      </c>
      <c r="B189" s="64" t="str">
        <f>'Приложение 2'!C191</f>
        <v>0702</v>
      </c>
      <c r="C189" s="64" t="str">
        <f>'Приложение 2'!D191</f>
        <v>02</v>
      </c>
      <c r="D189" s="64">
        <f>'Приложение 2'!E191</f>
        <v>4</v>
      </c>
      <c r="E189" s="64"/>
      <c r="F189" s="50">
        <f>'Приложение 2'!G191</f>
        <v>1481.17738</v>
      </c>
      <c r="G189" s="50">
        <f>'Приложение 2'!H191</f>
        <v>1185.06758</v>
      </c>
      <c r="H189" s="50">
        <f t="shared" si="2"/>
        <v>80.00848487167687</v>
      </c>
    </row>
    <row r="190" spans="1:8" ht="24" outlineLevel="5">
      <c r="A190" s="37" t="str">
        <f>'Приложение 2'!A192</f>
        <v>Закупка товаров, работ и услуг для государственных (муниципальных) нужд</v>
      </c>
      <c r="B190" s="64" t="str">
        <f>'Приложение 2'!C192</f>
        <v>0702</v>
      </c>
      <c r="C190" s="64" t="str">
        <f>'Приложение 2'!D192</f>
        <v>02</v>
      </c>
      <c r="D190" s="64">
        <f>'Приложение 2'!E192</f>
        <v>4</v>
      </c>
      <c r="E190" s="64">
        <f>'Приложение 2'!F192</f>
        <v>200</v>
      </c>
      <c r="F190" s="50">
        <f>'Приложение 2'!G192</f>
        <v>12</v>
      </c>
      <c r="G190" s="50">
        <f>'Приложение 2'!H192</f>
        <v>2.419</v>
      </c>
      <c r="H190" s="50">
        <f t="shared" si="2"/>
        <v>20.158333333333335</v>
      </c>
    </row>
    <row r="191" spans="1:8" ht="24" outlineLevel="5">
      <c r="A191" s="37" t="str">
        <f>'Приложение 2'!A193</f>
        <v>Предоставление субсидий бюджетным, автономным учреждениям и иным некоммерческим организациям</v>
      </c>
      <c r="B191" s="64" t="str">
        <f>'Приложение 2'!C193</f>
        <v>0702</v>
      </c>
      <c r="C191" s="64" t="str">
        <f>'Приложение 2'!D193</f>
        <v>02</v>
      </c>
      <c r="D191" s="64">
        <f>'Приложение 2'!E193</f>
        <v>4</v>
      </c>
      <c r="E191" s="64">
        <f>'Приложение 2'!F193</f>
        <v>600</v>
      </c>
      <c r="F191" s="50">
        <f>'Приложение 2'!G193</f>
        <v>416.5458</v>
      </c>
      <c r="G191" s="50">
        <f>'Приложение 2'!H193</f>
        <v>130.017</v>
      </c>
      <c r="H191" s="50">
        <f t="shared" si="2"/>
        <v>31.213134305999485</v>
      </c>
    </row>
    <row r="192" spans="1:8" ht="60" outlineLevel="5">
      <c r="A192" s="37" t="str">
        <f>'Приложение 2'!A194</f>
        <v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v>
      </c>
      <c r="B192" s="64" t="str">
        <f>'Приложение 2'!C194</f>
        <v>0702</v>
      </c>
      <c r="C192" s="64" t="str">
        <f>'Приложение 2'!D194</f>
        <v>02</v>
      </c>
      <c r="D192" s="64">
        <f>'Приложение 2'!E194</f>
        <v>4</v>
      </c>
      <c r="E192" s="64">
        <f>'Приложение 2'!F194</f>
        <v>600</v>
      </c>
      <c r="F192" s="50">
        <f>'Приложение 2'!G194</f>
        <v>1052.63158</v>
      </c>
      <c r="G192" s="50">
        <f>'Приложение 2'!H194</f>
        <v>1052.63158</v>
      </c>
      <c r="H192" s="50">
        <f t="shared" si="2"/>
        <v>100</v>
      </c>
    </row>
    <row r="193" spans="1:8" ht="36" hidden="1" outlineLevel="5">
      <c r="A193" s="37" t="str">
        <f>'Приложение 2'!A195</f>
        <v>Муниципальная программа "Развитие физической культуры и спорта в Алексеевском муниципальном районе на 2019-2023 годы"</v>
      </c>
      <c r="B193" s="64" t="str">
        <f>'Приложение 2'!C195</f>
        <v>0702</v>
      </c>
      <c r="C193" s="64" t="str">
        <f>'Приложение 2'!D195</f>
        <v>17</v>
      </c>
      <c r="D193" s="64">
        <f>'Приложение 2'!E195</f>
        <v>0</v>
      </c>
      <c r="E193" s="64"/>
      <c r="F193" s="50">
        <f>'Приложение 2'!G195</f>
        <v>0</v>
      </c>
      <c r="G193" s="50">
        <f>'Приложение 2'!H195</f>
        <v>0</v>
      </c>
      <c r="H193" s="50" t="e">
        <f t="shared" si="2"/>
        <v>#DIV/0!</v>
      </c>
    </row>
    <row r="194" spans="1:8" ht="84" hidden="1" outlineLevel="5">
      <c r="A194" s="37" t="str">
        <f>'Приложение 2'!A196</f>
        <v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94" s="64" t="str">
        <f>'Приложение 2'!C196</f>
        <v>0702</v>
      </c>
      <c r="C194" s="64" t="str">
        <f>'Приложение 2'!D196</f>
        <v>17</v>
      </c>
      <c r="D194" s="64">
        <f>'Приложение 2'!E196</f>
        <v>0</v>
      </c>
      <c r="E194" s="64">
        <f>'Приложение 2'!F196</f>
        <v>600</v>
      </c>
      <c r="F194" s="50">
        <f>'Приложение 2'!G196</f>
        <v>0</v>
      </c>
      <c r="G194" s="50">
        <f>'Приложение 2'!H196</f>
        <v>0</v>
      </c>
      <c r="H194" s="50" t="e">
        <f t="shared" si="2"/>
        <v>#DIV/0!</v>
      </c>
    </row>
    <row r="195" spans="1:8" ht="84" hidden="1" outlineLevel="5">
      <c r="A195" s="37" t="str">
        <f>'Приложение 2'!A197</f>
        <v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95" s="64" t="str">
        <f>'Приложение 2'!C197</f>
        <v>0702</v>
      </c>
      <c r="C195" s="64" t="str">
        <f>'Приложение 2'!D197</f>
        <v>17</v>
      </c>
      <c r="D195" s="64">
        <f>'Приложение 2'!E197</f>
        <v>0</v>
      </c>
      <c r="E195" s="64">
        <f>'Приложение 2'!F197</f>
        <v>600</v>
      </c>
      <c r="F195" s="50">
        <f>'Приложение 2'!G197</f>
        <v>0</v>
      </c>
      <c r="G195" s="50">
        <f>'Приложение 2'!H197</f>
        <v>0</v>
      </c>
      <c r="H195" s="50" t="e">
        <f t="shared" si="2"/>
        <v>#DIV/0!</v>
      </c>
    </row>
    <row r="196" spans="1:8" ht="96" outlineLevel="5">
      <c r="A196" s="37" t="str">
        <f>'Приложение 2'!A198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v>
      </c>
      <c r="B196" s="64" t="str">
        <f>'Приложение 2'!C198</f>
        <v>0702</v>
      </c>
      <c r="C196" s="64" t="str">
        <f>'Приложение 2'!D198</f>
        <v>22</v>
      </c>
      <c r="D196" s="64">
        <f>'Приложение 2'!E198</f>
        <v>0</v>
      </c>
      <c r="E196" s="64"/>
      <c r="F196" s="50">
        <f>'Приложение 2'!G198</f>
        <v>1179.67726</v>
      </c>
      <c r="G196" s="50">
        <f>'Приложение 2'!H198</f>
        <v>55.76404</v>
      </c>
      <c r="H196" s="50">
        <f t="shared" si="2"/>
        <v>4.727058992389156</v>
      </c>
    </row>
    <row r="197" spans="1:8" ht="24" outlineLevel="5">
      <c r="A197" s="37" t="str">
        <f>'Приложение 2'!A199</f>
        <v>Закупка товаров, работ и услуг для государственных (муниципальных) нужд</v>
      </c>
      <c r="B197" s="64" t="str">
        <f>'Приложение 2'!C199</f>
        <v>0702</v>
      </c>
      <c r="C197" s="64" t="str">
        <f>'Приложение 2'!D199</f>
        <v>22</v>
      </c>
      <c r="D197" s="64">
        <f>'Приложение 2'!E199</f>
        <v>0</v>
      </c>
      <c r="E197" s="64">
        <f>'Приложение 2'!F199</f>
        <v>200</v>
      </c>
      <c r="F197" s="50">
        <f>'Приложение 2'!G199</f>
        <v>46.18948</v>
      </c>
      <c r="G197" s="50">
        <f>'Приложение 2'!H199</f>
        <v>0</v>
      </c>
      <c r="H197" s="50">
        <f t="shared" si="2"/>
        <v>0</v>
      </c>
    </row>
    <row r="198" spans="1:8" ht="24" outlineLevel="5">
      <c r="A198" s="37" t="str">
        <f>'Приложение 2'!A200</f>
        <v>Предоставление субсидий бюджетным, автономным учреждениям и иным некоммерческим организациям</v>
      </c>
      <c r="B198" s="64" t="str">
        <f>'Приложение 2'!C200</f>
        <v>0702</v>
      </c>
      <c r="C198" s="64" t="str">
        <f>'Приложение 2'!D200</f>
        <v>22</v>
      </c>
      <c r="D198" s="64">
        <f>'Приложение 2'!E200</f>
        <v>0</v>
      </c>
      <c r="E198" s="64">
        <f>'Приложение 2'!F200</f>
        <v>600</v>
      </c>
      <c r="F198" s="50">
        <f>'Приложение 2'!G200</f>
        <v>1133.48778</v>
      </c>
      <c r="G198" s="50">
        <f>'Приложение 2'!H200</f>
        <v>55.76404</v>
      </c>
      <c r="H198" s="50">
        <f t="shared" si="2"/>
        <v>4.919686033139238</v>
      </c>
    </row>
    <row r="199" spans="1:8" ht="36" outlineLevel="5">
      <c r="A199" s="37" t="str">
        <f>'Приложение 2'!A201</f>
        <v>Муниципальная программа "Развитие образования детей на территории Алексеевского муниципального района на 2023-2025 годы"</v>
      </c>
      <c r="B199" s="64" t="str">
        <f>'Приложение 2'!C201</f>
        <v>0702</v>
      </c>
      <c r="C199" s="64" t="str">
        <f>'Приложение 2'!D201</f>
        <v>53</v>
      </c>
      <c r="D199" s="64">
        <f>'Приложение 2'!E201</f>
        <v>0</v>
      </c>
      <c r="E199" s="64"/>
      <c r="F199" s="50">
        <f>'Приложение 2'!G201</f>
        <v>213974.51957000003</v>
      </c>
      <c r="G199" s="50">
        <f>'Приложение 2'!H201</f>
        <v>131231.43944000002</v>
      </c>
      <c r="H199" s="50">
        <f t="shared" si="2"/>
        <v>61.33040499575404</v>
      </c>
    </row>
    <row r="200" spans="1:8" ht="12.75" outlineLevel="5">
      <c r="A200" s="37" t="str">
        <f>'Приложение 2'!A202</f>
        <v>Подпрограмма "Развитие общего образования детей"</v>
      </c>
      <c r="B200" s="64" t="str">
        <f>'Приложение 2'!C202</f>
        <v>0702</v>
      </c>
      <c r="C200" s="64" t="str">
        <f>'Приложение 2'!D202</f>
        <v>53</v>
      </c>
      <c r="D200" s="64">
        <f>'Приложение 2'!E202</f>
        <v>2</v>
      </c>
      <c r="E200" s="64" t="s">
        <v>9</v>
      </c>
      <c r="F200" s="50">
        <f>'Приложение 2'!G202</f>
        <v>213974.51957000003</v>
      </c>
      <c r="G200" s="50">
        <f>'Приложение 2'!H202</f>
        <v>131231.43944000002</v>
      </c>
      <c r="H200" s="50">
        <f t="shared" si="2"/>
        <v>61.33040499575404</v>
      </c>
    </row>
    <row r="201" spans="1:8" ht="12.75" outlineLevel="5">
      <c r="A201" s="37" t="str">
        <f>'Приложение 2'!A203</f>
        <v>За счет средств бюджета муниципального района</v>
      </c>
      <c r="B201" s="64" t="str">
        <f>'Приложение 2'!C203</f>
        <v>0702</v>
      </c>
      <c r="C201" s="64" t="str">
        <f>'Приложение 2'!D203</f>
        <v>53</v>
      </c>
      <c r="D201" s="64">
        <f>'Приложение 2'!E203</f>
        <v>2</v>
      </c>
      <c r="E201" s="64" t="s">
        <v>9</v>
      </c>
      <c r="F201" s="50">
        <f>'Приложение 2'!G203</f>
        <v>23741.3</v>
      </c>
      <c r="G201" s="50">
        <f>'Приложение 2'!H203</f>
        <v>15157.956009999998</v>
      </c>
      <c r="H201" s="50">
        <f t="shared" si="2"/>
        <v>63.84636060367376</v>
      </c>
    </row>
    <row r="202" spans="1:8" ht="48" outlineLevel="5">
      <c r="A202" s="37" t="str">
        <f>'Приложение 2'!A204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02" s="64" t="str">
        <f>'Приложение 2'!C204</f>
        <v>0702</v>
      </c>
      <c r="C202" s="64" t="str">
        <f>'Приложение 2'!D204</f>
        <v>53</v>
      </c>
      <c r="D202" s="64">
        <f>'Приложение 2'!E204</f>
        <v>2</v>
      </c>
      <c r="E202" s="64">
        <f>'Приложение 2'!F204</f>
        <v>100</v>
      </c>
      <c r="F202" s="50">
        <f>'Приложение 2'!G204</f>
        <v>0</v>
      </c>
      <c r="G202" s="50">
        <f>'Приложение 2'!H204</f>
        <v>0</v>
      </c>
      <c r="H202" s="50" t="e">
        <f t="shared" si="2"/>
        <v>#DIV/0!</v>
      </c>
    </row>
    <row r="203" spans="1:8" ht="24" outlineLevel="5">
      <c r="A203" s="37" t="str">
        <f>'Приложение 2'!A205</f>
        <v>Закупка товаров, работ и услуг для государственных (муниципальных) нужд</v>
      </c>
      <c r="B203" s="64" t="str">
        <f>'Приложение 2'!C205</f>
        <v>0702</v>
      </c>
      <c r="C203" s="64" t="str">
        <f>'Приложение 2'!D205</f>
        <v>53</v>
      </c>
      <c r="D203" s="64">
        <f>'Приложение 2'!E205</f>
        <v>2</v>
      </c>
      <c r="E203" s="64">
        <f>'Приложение 2'!F205</f>
        <v>200</v>
      </c>
      <c r="F203" s="50">
        <f>'Приложение 2'!G205</f>
        <v>550.27377</v>
      </c>
      <c r="G203" s="50">
        <f>'Приложение 2'!H205</f>
        <v>302.97258</v>
      </c>
      <c r="H203" s="50">
        <f aca="true" t="shared" si="3" ref="H203:H266">SUM(G203/F203)*100</f>
        <v>55.05851750847582</v>
      </c>
    </row>
    <row r="204" spans="1:8" ht="48" outlineLevel="5">
      <c r="A204" s="37" t="str">
        <f>'Приложение 2'!A206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204" s="64" t="str">
        <f>'Приложение 2'!C206</f>
        <v>0702</v>
      </c>
      <c r="C204" s="64" t="str">
        <f>'Приложение 2'!D206</f>
        <v>53</v>
      </c>
      <c r="D204" s="64">
        <f>'Приложение 2'!E206</f>
        <v>2</v>
      </c>
      <c r="E204" s="64">
        <f>'Приложение 2'!F206</f>
        <v>200</v>
      </c>
      <c r="F204" s="50">
        <f>'Приложение 2'!G206</f>
        <v>31.5</v>
      </c>
      <c r="G204" s="50">
        <f>'Приложение 2'!H206</f>
        <v>16.66936</v>
      </c>
      <c r="H204" s="50">
        <f t="shared" si="3"/>
        <v>52.91860317460318</v>
      </c>
    </row>
    <row r="205" spans="1:8" ht="48" outlineLevel="5">
      <c r="A205" s="37" t="str">
        <f>'Приложение 2'!A206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205" s="64" t="str">
        <f>'Приложение 2'!C206</f>
        <v>0702</v>
      </c>
      <c r="C205" s="64" t="str">
        <f>'Приложение 2'!D206</f>
        <v>53</v>
      </c>
      <c r="D205" s="64">
        <f>'Приложение 2'!E206</f>
        <v>2</v>
      </c>
      <c r="E205" s="64" t="s">
        <v>145</v>
      </c>
      <c r="F205" s="50">
        <f>'Приложение 2'!G206</f>
        <v>31.5</v>
      </c>
      <c r="G205" s="50">
        <f>'Приложение 2'!H206</f>
        <v>16.66936</v>
      </c>
      <c r="H205" s="50">
        <f t="shared" si="3"/>
        <v>52.91860317460318</v>
      </c>
    </row>
    <row r="206" spans="1:8" ht="12.75" outlineLevel="5">
      <c r="A206" s="37" t="str">
        <f>'Приложение 2'!A207</f>
        <v>Иные бюджетные ассигнования</v>
      </c>
      <c r="B206" s="64" t="str">
        <f>'Приложение 2'!C207</f>
        <v>0702</v>
      </c>
      <c r="C206" s="64" t="str">
        <f>'Приложение 2'!D207</f>
        <v>53</v>
      </c>
      <c r="D206" s="64">
        <f>'Приложение 2'!E207</f>
        <v>2</v>
      </c>
      <c r="E206" s="64">
        <f>'Приложение 2'!F207</f>
        <v>800</v>
      </c>
      <c r="F206" s="50">
        <f>'Приложение 2'!G207</f>
        <v>30</v>
      </c>
      <c r="G206" s="50">
        <f>'Приложение 2'!H207</f>
        <v>19.53637</v>
      </c>
      <c r="H206" s="50">
        <f t="shared" si="3"/>
        <v>65.12123333333334</v>
      </c>
    </row>
    <row r="207" spans="1:8" ht="26.25" customHeight="1" outlineLevel="5">
      <c r="A207" s="37" t="str">
        <f>'Приложение 2'!A208</f>
        <v>Предоставление субсидий бюджетным, автономным учреждениям и иным некоммерческим организациям</v>
      </c>
      <c r="B207" s="64" t="str">
        <f>'Приложение 2'!C208</f>
        <v>0702</v>
      </c>
      <c r="C207" s="64" t="str">
        <f>'Приложение 2'!D208</f>
        <v>53</v>
      </c>
      <c r="D207" s="64">
        <f>'Приложение 2'!E208</f>
        <v>2</v>
      </c>
      <c r="E207" s="64">
        <f>'Приложение 2'!F208</f>
        <v>600</v>
      </c>
      <c r="F207" s="50">
        <f>'Приложение 2'!G208</f>
        <v>21091.61633</v>
      </c>
      <c r="G207" s="50">
        <f>'Приложение 2'!H208</f>
        <v>13713.60566</v>
      </c>
      <c r="H207" s="50">
        <f t="shared" si="3"/>
        <v>65.01922586413745</v>
      </c>
    </row>
    <row r="208" spans="1:8" ht="37.5" customHeight="1" outlineLevel="5">
      <c r="A208" s="37" t="str">
        <f>'Приложение 2'!A209</f>
        <v>Предоставление субсидий бюджетным, автономным учреждениям и иным некоммерческим организациям (Школа детского инициативного бюджетирования софинансирование)</v>
      </c>
      <c r="B208" s="64" t="str">
        <f>'Приложение 2'!C209</f>
        <v>0702</v>
      </c>
      <c r="C208" s="64" t="str">
        <f>'Приложение 2'!D209</f>
        <v>53</v>
      </c>
      <c r="D208" s="64">
        <f>'Приложение 2'!E209</f>
        <v>2</v>
      </c>
      <c r="E208" s="64">
        <f>'Приложение 2'!F209</f>
        <v>600</v>
      </c>
      <c r="F208" s="50">
        <f>'Приложение 2'!G209</f>
        <v>15</v>
      </c>
      <c r="G208" s="50">
        <f>'Приложение 2'!H209</f>
        <v>14.36364</v>
      </c>
      <c r="H208" s="50">
        <f t="shared" si="3"/>
        <v>95.7576</v>
      </c>
    </row>
    <row r="209" spans="1:8" ht="26.25" customHeight="1" outlineLevel="5">
      <c r="A209" s="37" t="str">
        <f>'Приложение 2'!A210</f>
        <v>Предоставление субсидий бюджетным, автономным учреждениям и иным некоммерческим организациям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209" s="64" t="str">
        <f>'Приложение 2'!C210</f>
        <v>0702</v>
      </c>
      <c r="C209" s="64" t="str">
        <f>'Приложение 2'!D210</f>
        <v>53</v>
      </c>
      <c r="D209" s="64">
        <f>'Приложение 2'!E210</f>
        <v>2</v>
      </c>
      <c r="E209" s="64">
        <f>'Приложение 2'!F210</f>
        <v>600</v>
      </c>
      <c r="F209" s="50">
        <f>'Приложение 2'!G210</f>
        <v>2022.9099</v>
      </c>
      <c r="G209" s="50">
        <f>'Приложение 2'!H210</f>
        <v>1090.8084</v>
      </c>
      <c r="H209" s="50">
        <f t="shared" si="3"/>
        <v>53.92273773537812</v>
      </c>
    </row>
    <row r="210" spans="1:8" ht="12.75" outlineLevel="5">
      <c r="A210" s="37" t="str">
        <f>'Приложение 2'!A211</f>
        <v>За счет средств областного бюджета </v>
      </c>
      <c r="B210" s="64" t="str">
        <f>'Приложение 2'!C211</f>
        <v>0702</v>
      </c>
      <c r="C210" s="64" t="str">
        <f>'Приложение 2'!D211</f>
        <v>53</v>
      </c>
      <c r="D210" s="64">
        <f>'Приложение 2'!E211</f>
        <v>2</v>
      </c>
      <c r="E210" s="64" t="s">
        <v>9</v>
      </c>
      <c r="F210" s="50">
        <f>'Приложение 2'!G211</f>
        <v>190233.21957000004</v>
      </c>
      <c r="G210" s="50">
        <f>'Приложение 2'!H211</f>
        <v>116073.48343000001</v>
      </c>
      <c r="H210" s="50">
        <f t="shared" si="3"/>
        <v>61.01641116749774</v>
      </c>
    </row>
    <row r="211" spans="1:8" ht="38.25" customHeight="1" outlineLevel="5">
      <c r="A211" s="37" t="str">
        <f>'Приложение 2'!A212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11" s="64" t="str">
        <f>'Приложение 2'!C212</f>
        <v>0702</v>
      </c>
      <c r="C211" s="64" t="str">
        <f>'Приложение 2'!D212</f>
        <v>53</v>
      </c>
      <c r="D211" s="64">
        <f>'Приложение 2'!E212</f>
        <v>2</v>
      </c>
      <c r="E211" s="64">
        <f>'Приложение 2'!F212</f>
        <v>100</v>
      </c>
      <c r="F211" s="50">
        <f>'Приложение 2'!G212</f>
        <v>5925.200000000001</v>
      </c>
      <c r="G211" s="50">
        <f>'Приложение 2'!H212</f>
        <v>3153.3831</v>
      </c>
      <c r="H211" s="50">
        <f t="shared" si="3"/>
        <v>53.21985924525754</v>
      </c>
    </row>
    <row r="212" spans="1:8" ht="4.5" customHeight="1" hidden="1" outlineLevel="5">
      <c r="A212" s="37" t="str">
        <f>'Приложение 2'!A213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v>
      </c>
      <c r="B212" s="64" t="str">
        <f>'Приложение 2'!C213</f>
        <v>0702</v>
      </c>
      <c r="C212" s="64" t="str">
        <f>'Приложение 2'!D213</f>
        <v>53</v>
      </c>
      <c r="D212" s="64">
        <f>'Приложение 2'!E213</f>
        <v>2</v>
      </c>
      <c r="E212" s="64">
        <f>'Приложение 2'!F213</f>
        <v>100</v>
      </c>
      <c r="F212" s="50">
        <f>'Приложение 2'!G213</f>
        <v>0</v>
      </c>
      <c r="G212" s="50">
        <f>'Приложение 2'!H213</f>
        <v>0</v>
      </c>
      <c r="H212" s="50" t="e">
        <f t="shared" si="3"/>
        <v>#DIV/0!</v>
      </c>
    </row>
    <row r="213" spans="1:8" ht="36" outlineLevel="5">
      <c r="A213" s="37" t="str">
        <f>'Приложение 2'!A214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13" s="64" t="str">
        <f>'Приложение 2'!C214</f>
        <v>0702</v>
      </c>
      <c r="C213" s="64" t="str">
        <f>'Приложение 2'!D214</f>
        <v>53</v>
      </c>
      <c r="D213" s="64">
        <f>'Приложение 2'!E214</f>
        <v>2</v>
      </c>
      <c r="E213" s="64">
        <f>'Приложение 2'!F214</f>
        <v>100</v>
      </c>
      <c r="F213" s="50">
        <f>'Приложение 2'!G214</f>
        <v>625</v>
      </c>
      <c r="G213" s="50">
        <f>'Приложение 2'!H214</f>
        <v>439.98773</v>
      </c>
      <c r="H213" s="50">
        <f t="shared" si="3"/>
        <v>70.3980368</v>
      </c>
    </row>
    <row r="214" spans="1:8" ht="27" customHeight="1" outlineLevel="5">
      <c r="A214" s="37" t="str">
        <f>'Приложение 2'!A215</f>
        <v>Закупка товаров, работ и услуг для государственных (муниципальных) нужд</v>
      </c>
      <c r="B214" s="64" t="str">
        <f>'Приложение 2'!C215</f>
        <v>0702</v>
      </c>
      <c r="C214" s="64" t="str">
        <f>'Приложение 2'!D215</f>
        <v>53</v>
      </c>
      <c r="D214" s="64">
        <f>'Приложение 2'!E215</f>
        <v>2</v>
      </c>
      <c r="E214" s="64">
        <f>'Приложение 2'!F215</f>
        <v>200</v>
      </c>
      <c r="F214" s="50">
        <f>'Приложение 2'!G215</f>
        <v>120</v>
      </c>
      <c r="G214" s="50">
        <f>'Приложение 2'!H215</f>
        <v>93.78847</v>
      </c>
      <c r="H214" s="50">
        <f t="shared" si="3"/>
        <v>78.15705833333334</v>
      </c>
    </row>
    <row r="215" spans="1:8" ht="17.25" customHeight="1" outlineLevel="5">
      <c r="A215" s="37" t="str">
        <f>'Приложение 2'!A216</f>
        <v>За счет средств областного бюджета на питание</v>
      </c>
      <c r="B215" s="64" t="str">
        <f>'Приложение 2'!C216</f>
        <v>0702</v>
      </c>
      <c r="C215" s="64" t="str">
        <f>'Приложение 2'!D216</f>
        <v>53</v>
      </c>
      <c r="D215" s="64">
        <f>'Приложение 2'!E216</f>
        <v>2</v>
      </c>
      <c r="E215" s="64">
        <f>'Приложение 2'!F216</f>
        <v>200</v>
      </c>
      <c r="F215" s="50">
        <f>'Приложение 2'!G216</f>
        <v>56.6</v>
      </c>
      <c r="G215" s="50">
        <f>'Приложение 2'!H216</f>
        <v>35.83958</v>
      </c>
      <c r="H215" s="50">
        <f t="shared" si="3"/>
        <v>63.32081272084805</v>
      </c>
    </row>
    <row r="216" spans="1:8" ht="24.75" customHeight="1" outlineLevel="5">
      <c r="A216" s="37" t="str">
        <f>'Приложение 2'!A217</f>
        <v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v>
      </c>
      <c r="B216" s="64" t="str">
        <f>'Приложение 2'!C217</f>
        <v>0702</v>
      </c>
      <c r="C216" s="64" t="str">
        <f>'Приложение 2'!D217</f>
        <v>53</v>
      </c>
      <c r="D216" s="64">
        <f>'Приложение 2'!E217</f>
        <v>2</v>
      </c>
      <c r="E216" s="64">
        <f>'Приложение 2'!F217</f>
        <v>200</v>
      </c>
      <c r="F216" s="50">
        <f>'Приложение 2'!G217</f>
        <v>96.5</v>
      </c>
      <c r="G216" s="50">
        <f>'Приложение 2'!H217</f>
        <v>51.14737</v>
      </c>
      <c r="H216" s="50">
        <f t="shared" si="3"/>
        <v>53.00245595854922</v>
      </c>
    </row>
    <row r="217" spans="1:8" ht="60" outlineLevel="5">
      <c r="A217" s="37" t="str">
        <f>'Приложение 2'!A218</f>
        <v>Предоставление субсидий бюджетным, автономным учреждениям и иным некоммерческим организациям (реализация мероприятий по организации бесплатного горячего питания обучающихся, получающих начальное общее образование)</v>
      </c>
      <c r="B217" s="64" t="str">
        <f>'Приложение 2'!C218</f>
        <v>0702</v>
      </c>
      <c r="C217" s="64" t="str">
        <f>'Приложение 2'!D218</f>
        <v>53</v>
      </c>
      <c r="D217" s="64">
        <f>'Приложение 2'!E218</f>
        <v>2</v>
      </c>
      <c r="E217" s="64">
        <f>'Приложение 2'!F218</f>
        <v>600</v>
      </c>
      <c r="F217" s="50">
        <f>'Приложение 2'!G218</f>
        <v>6207.14502</v>
      </c>
      <c r="G217" s="50">
        <f>'Приложение 2'!H218</f>
        <v>3346.98008</v>
      </c>
      <c r="H217" s="50">
        <f t="shared" si="3"/>
        <v>53.921409427614755</v>
      </c>
    </row>
    <row r="218" spans="1:8" ht="24" outlineLevel="5">
      <c r="A218" s="37" t="str">
        <f>'Приложение 2'!A219</f>
        <v>За счет средств областного бюджета на образовательный процесс</v>
      </c>
      <c r="B218" s="64" t="str">
        <f>'Приложение 2'!C219</f>
        <v>0702</v>
      </c>
      <c r="C218" s="64" t="str">
        <f>'Приложение 2'!D219</f>
        <v>53</v>
      </c>
      <c r="D218" s="64">
        <f>'Приложение 2'!E219</f>
        <v>2</v>
      </c>
      <c r="E218" s="64">
        <f>'Приложение 2'!F219</f>
        <v>600</v>
      </c>
      <c r="F218" s="50">
        <f>'Приложение 2'!G219</f>
        <v>158574.7</v>
      </c>
      <c r="G218" s="50">
        <f>'Приложение 2'!H219</f>
        <v>95595.87074</v>
      </c>
      <c r="H218" s="50">
        <f t="shared" si="3"/>
        <v>60.2844405444248</v>
      </c>
    </row>
    <row r="219" spans="1:8" ht="36" outlineLevel="5">
      <c r="A219" s="37" t="str">
        <f>'Приложение 2'!A220</f>
        <v>Субсидия из областного бюджета бюджетам муниципальных образований Волгоградской области на реализацию мероприятий по модернизации школьных систем образования</v>
      </c>
      <c r="B219" s="64" t="str">
        <f>'Приложение 2'!C220</f>
        <v>0702</v>
      </c>
      <c r="C219" s="64" t="str">
        <f>'Приложение 2'!D220</f>
        <v>53</v>
      </c>
      <c r="D219" s="64">
        <f>'Приложение 2'!E220</f>
        <v>2</v>
      </c>
      <c r="E219" s="64">
        <f>'Приложение 2'!F220</f>
        <v>600</v>
      </c>
      <c r="F219" s="50">
        <f>'Приложение 2'!G220</f>
        <v>0</v>
      </c>
      <c r="G219" s="50">
        <f>'Приложение 2'!H220</f>
        <v>0</v>
      </c>
      <c r="H219" s="50" t="e">
        <f t="shared" si="3"/>
        <v>#DIV/0!</v>
      </c>
    </row>
    <row r="220" spans="1:8" ht="36" outlineLevel="5">
      <c r="A220" s="37" t="str">
        <f>'Приложение 2'!A221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20" s="64" t="str">
        <f>'Приложение 2'!C221</f>
        <v>0702</v>
      </c>
      <c r="C220" s="64" t="str">
        <f>'Приложение 2'!D221</f>
        <v>53</v>
      </c>
      <c r="D220" s="64">
        <f>'Приложение 2'!E221</f>
        <v>2</v>
      </c>
      <c r="E220" s="64">
        <f>'Приложение 2'!F221</f>
        <v>600</v>
      </c>
      <c r="F220" s="50">
        <f>'Приложение 2'!G221</f>
        <v>12862.443</v>
      </c>
      <c r="G220" s="50">
        <f>'Приложение 2'!H221</f>
        <v>10633.52227</v>
      </c>
      <c r="H220" s="50">
        <f t="shared" si="3"/>
        <v>82.67109343069586</v>
      </c>
    </row>
    <row r="221" spans="1:8" ht="12.75" outlineLevel="5">
      <c r="A221" s="37" t="str">
        <f>'Приложение 2'!A222</f>
        <v>За счет средств областного бюджета на питание</v>
      </c>
      <c r="B221" s="64" t="str">
        <f>'Приложение 2'!C222</f>
        <v>0702</v>
      </c>
      <c r="C221" s="64" t="str">
        <f>'Приложение 2'!D222</f>
        <v>53</v>
      </c>
      <c r="D221" s="64">
        <f>'Приложение 2'!E222</f>
        <v>2</v>
      </c>
      <c r="E221" s="64">
        <f>'Приложение 2'!F222</f>
        <v>600</v>
      </c>
      <c r="F221" s="50">
        <f>'Приложение 2'!G222</f>
        <v>5500.7</v>
      </c>
      <c r="G221" s="50">
        <f>'Приложение 2'!H222</f>
        <v>2479.25902</v>
      </c>
      <c r="H221" s="50">
        <f t="shared" si="3"/>
        <v>45.07170032904903</v>
      </c>
    </row>
    <row r="222" spans="1:8" ht="39" customHeight="1" outlineLevel="5">
      <c r="A222" s="37" t="str">
        <f>'Приложение 2'!A223</f>
        <v>Предоставление субсидий бюджетным, автономным учреждениям и иным некоммерческим организациям (Школа детского инициативного бюджетирования)</v>
      </c>
      <c r="B222" s="64" t="str">
        <f>'Приложение 2'!C223</f>
        <v>0702</v>
      </c>
      <c r="C222" s="64" t="str">
        <f>'Приложение 2'!D223</f>
        <v>53</v>
      </c>
      <c r="D222" s="64">
        <f>'Приложение 2'!E223</f>
        <v>2</v>
      </c>
      <c r="E222" s="64">
        <f>'Приложение 2'!F223</f>
        <v>600</v>
      </c>
      <c r="F222" s="50">
        <f>'Приложение 2'!G223</f>
        <v>150</v>
      </c>
      <c r="G222" s="50">
        <f>'Приложение 2'!H223</f>
        <v>148.43636</v>
      </c>
      <c r="H222" s="50">
        <f t="shared" si="3"/>
        <v>98.95757333333334</v>
      </c>
    </row>
    <row r="223" spans="1:8" ht="24" outlineLevel="5">
      <c r="A223" s="37" t="str">
        <f>'Приложение 2'!A224</f>
        <v>За счет средств на расходы на осуществление социальных гарантий молодым специалистам</v>
      </c>
      <c r="B223" s="64" t="str">
        <f>'Приложение 2'!C224</f>
        <v>0702</v>
      </c>
      <c r="C223" s="64" t="str">
        <f>'Приложение 2'!D224</f>
        <v>53</v>
      </c>
      <c r="D223" s="64">
        <f>'Приложение 2'!E224</f>
        <v>2</v>
      </c>
      <c r="E223" s="64">
        <f>'Приложение 2'!F224</f>
        <v>600</v>
      </c>
      <c r="F223" s="50">
        <f>'Приложение 2'!G224</f>
        <v>114.93155</v>
      </c>
      <c r="G223" s="50">
        <f>'Приложение 2'!H224</f>
        <v>95.26871</v>
      </c>
      <c r="H223" s="50">
        <f t="shared" si="3"/>
        <v>82.89169510025751</v>
      </c>
    </row>
    <row r="224" spans="1:8" ht="14.25" customHeight="1" outlineLevel="5">
      <c r="A224" s="37" t="str">
        <f>'Приложение 2'!A225</f>
        <v>Дополнительное образование детей</v>
      </c>
      <c r="B224" s="64" t="str">
        <f>'Приложение 2'!C225</f>
        <v>0703</v>
      </c>
      <c r="C224" s="64"/>
      <c r="D224" s="64"/>
      <c r="E224" s="64"/>
      <c r="F224" s="50">
        <f>'Приложение 2'!G225</f>
        <v>10973.630009999999</v>
      </c>
      <c r="G224" s="50">
        <f>'Приложение 2'!H225</f>
        <v>7918.54307</v>
      </c>
      <c r="H224" s="50">
        <f t="shared" si="3"/>
        <v>72.15974169699567</v>
      </c>
    </row>
    <row r="225" spans="1:8" ht="2.25" customHeight="1" hidden="1" outlineLevel="5">
      <c r="A225" s="37" t="str">
        <f>'Приложение 2'!A226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25" s="64" t="str">
        <f>'Приложение 2'!C226</f>
        <v>0703</v>
      </c>
      <c r="C225" s="64" t="str">
        <f>'Приложение 2'!D226</f>
        <v>02</v>
      </c>
      <c r="D225" s="64">
        <f>'Приложение 2'!E226</f>
        <v>0</v>
      </c>
      <c r="E225" s="64"/>
      <c r="F225" s="50">
        <f>'Приложение 2'!G226</f>
        <v>0</v>
      </c>
      <c r="G225" s="50">
        <f>'Приложение 2'!H226</f>
        <v>0</v>
      </c>
      <c r="H225" s="50" t="e">
        <f t="shared" si="3"/>
        <v>#DIV/0!</v>
      </c>
    </row>
    <row r="226" spans="1:8" ht="42" customHeight="1" hidden="1" outlineLevel="5">
      <c r="A226" s="37" t="str">
        <f>'Приложение 2'!A227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226" s="64" t="str">
        <f>'Приложение 2'!C227</f>
        <v>0703</v>
      </c>
      <c r="C226" s="64" t="str">
        <f>'Приложение 2'!D227</f>
        <v>02</v>
      </c>
      <c r="D226" s="64">
        <f>'Приложение 2'!E227</f>
        <v>3</v>
      </c>
      <c r="E226" s="64"/>
      <c r="F226" s="50">
        <f>'Приложение 2'!G227</f>
        <v>0</v>
      </c>
      <c r="G226" s="50">
        <f>'Приложение 2'!H227</f>
        <v>0</v>
      </c>
      <c r="H226" s="50" t="e">
        <f t="shared" si="3"/>
        <v>#DIV/0!</v>
      </c>
    </row>
    <row r="227" spans="1:8" ht="24" hidden="1" outlineLevel="5">
      <c r="A227" s="37" t="str">
        <f>'Приложение 2'!A228</f>
        <v>Предоставление субсидий бюджетным, автономным учреждениям и иным некоммерческим организациям</v>
      </c>
      <c r="B227" s="64" t="str">
        <f>'Приложение 2'!C228</f>
        <v>0703</v>
      </c>
      <c r="C227" s="64" t="str">
        <f>'Приложение 2'!D228</f>
        <v>02</v>
      </c>
      <c r="D227" s="64">
        <f>'Приложение 2'!E228</f>
        <v>3</v>
      </c>
      <c r="E227" s="64">
        <f>'Приложение 2'!F228</f>
        <v>600</v>
      </c>
      <c r="F227" s="50">
        <f>'Приложение 2'!G228</f>
        <v>0</v>
      </c>
      <c r="G227" s="50">
        <f>'Приложение 2'!H228</f>
        <v>0</v>
      </c>
      <c r="H227" s="50" t="e">
        <f t="shared" si="3"/>
        <v>#DIV/0!</v>
      </c>
    </row>
    <row r="228" spans="1:8" ht="37.5" customHeight="1" outlineLevel="5">
      <c r="A228" s="37" t="str">
        <f>'Приложение 2'!A229</f>
        <v>Муниципальная программа "Развитие образования детей на территории Алексеевского муниципального района на 2023-2025 годы"</v>
      </c>
      <c r="B228" s="64" t="str">
        <f>'Приложение 2'!C229</f>
        <v>0703</v>
      </c>
      <c r="C228" s="64" t="str">
        <f>'Приложение 2'!D229</f>
        <v>53</v>
      </c>
      <c r="D228" s="64">
        <f>'Приложение 2'!E229</f>
        <v>0</v>
      </c>
      <c r="E228" s="64"/>
      <c r="F228" s="50">
        <f>'Приложение 2'!G229</f>
        <v>10973.630009999999</v>
      </c>
      <c r="G228" s="50">
        <f>'Приложение 2'!H229</f>
        <v>7918.54307</v>
      </c>
      <c r="H228" s="50">
        <f t="shared" si="3"/>
        <v>72.15974169699567</v>
      </c>
    </row>
    <row r="229" spans="1:8" ht="15" customHeight="1" outlineLevel="5">
      <c r="A229" s="37" t="str">
        <f>'Приложение 2'!A230</f>
        <v>Подпрограмма "Развитие дополнительного образования детей"</v>
      </c>
      <c r="B229" s="64" t="str">
        <f>'Приложение 2'!C230</f>
        <v>0703</v>
      </c>
      <c r="C229" s="64" t="str">
        <f>'Приложение 2'!D230</f>
        <v>53</v>
      </c>
      <c r="D229" s="64">
        <f>'Приложение 2'!E230</f>
        <v>3</v>
      </c>
      <c r="E229" s="64" t="s">
        <v>9</v>
      </c>
      <c r="F229" s="50">
        <f>'Приложение 2'!G230</f>
        <v>10973.630009999999</v>
      </c>
      <c r="G229" s="50">
        <f>'Приложение 2'!H230</f>
        <v>7918.54307</v>
      </c>
      <c r="H229" s="50">
        <f t="shared" si="3"/>
        <v>72.15974169699567</v>
      </c>
    </row>
    <row r="230" spans="1:8" ht="24" outlineLevel="5">
      <c r="A230" s="37" t="str">
        <f>'Приложение 2'!A231</f>
        <v>Предоставление субсидий бюджетным, автономным учреждениям и иным некоммерческим организациям (ДШИ)</v>
      </c>
      <c r="B230" s="64" t="str">
        <f>'Приложение 2'!C231</f>
        <v>0703</v>
      </c>
      <c r="C230" s="64" t="str">
        <f>'Приложение 2'!D231</f>
        <v>53</v>
      </c>
      <c r="D230" s="64">
        <f>'Приложение 2'!E231</f>
        <v>3</v>
      </c>
      <c r="E230" s="64">
        <f>'Приложение 2'!F231</f>
        <v>600</v>
      </c>
      <c r="F230" s="50">
        <f>'Приложение 2'!G231</f>
        <v>5900</v>
      </c>
      <c r="G230" s="50">
        <f>'Приложение 2'!H231</f>
        <v>3989.27416</v>
      </c>
      <c r="H230" s="50">
        <f t="shared" si="3"/>
        <v>67.61481627118644</v>
      </c>
    </row>
    <row r="231" spans="1:8" ht="26.25" customHeight="1" outlineLevel="5">
      <c r="A231" s="37" t="str">
        <f>'Приложение 2'!A232</f>
        <v>Предоставление субсидий бюджетным, автономным учреждениям и иным некоммерческим организациям (ДЮСШ)</v>
      </c>
      <c r="B231" s="64" t="str">
        <f>'Приложение 2'!C232</f>
        <v>0703</v>
      </c>
      <c r="C231" s="64" t="str">
        <f>'Приложение 2'!D232</f>
        <v>53</v>
      </c>
      <c r="D231" s="64">
        <f>'Приложение 2'!E232</f>
        <v>3</v>
      </c>
      <c r="E231" s="64">
        <f>'Приложение 2'!F232</f>
        <v>600</v>
      </c>
      <c r="F231" s="50">
        <f>'Приложение 2'!G232</f>
        <v>5051.31312</v>
      </c>
      <c r="G231" s="50">
        <f>'Приложение 2'!H232</f>
        <v>3912.12453</v>
      </c>
      <c r="H231" s="50">
        <f t="shared" si="3"/>
        <v>77.44767423960445</v>
      </c>
    </row>
    <row r="232" spans="1:8" ht="26.25" customHeight="1" outlineLevel="5">
      <c r="A232" s="37" t="str">
        <f>'Приложение 2'!A233</f>
        <v>За счет средств на расходы на осуществление социальных гарантий молодым специалистам</v>
      </c>
      <c r="B232" s="64" t="str">
        <f>'Приложение 2'!C233</f>
        <v>0703</v>
      </c>
      <c r="C232" s="64" t="str">
        <f>'Приложение 2'!D233</f>
        <v>53</v>
      </c>
      <c r="D232" s="64">
        <f>'Приложение 2'!E233</f>
        <v>3</v>
      </c>
      <c r="E232" s="64">
        <f>'Приложение 2'!F233</f>
        <v>600</v>
      </c>
      <c r="F232" s="50">
        <f>'Приложение 2'!G233</f>
        <v>22.31689</v>
      </c>
      <c r="G232" s="50">
        <f>'Приложение 2'!H233</f>
        <v>17.14438</v>
      </c>
      <c r="H232" s="50">
        <f t="shared" si="3"/>
        <v>76.82244255359954</v>
      </c>
    </row>
    <row r="233" spans="1:8" ht="12.75" outlineLevel="5">
      <c r="A233" s="37" t="str">
        <f>'Приложение 2'!A234</f>
        <v>Молодежная политика </v>
      </c>
      <c r="B233" s="64" t="str">
        <f>'Приложение 2'!C234</f>
        <v>0707</v>
      </c>
      <c r="C233" s="64">
        <f>'Приложение 2'!D234</f>
      </c>
      <c r="D233" s="64">
        <f>'Приложение 2'!E234</f>
      </c>
      <c r="E233" s="64"/>
      <c r="F233" s="50">
        <f>'Приложение 2'!G234</f>
        <v>4660</v>
      </c>
      <c r="G233" s="50">
        <f>'Приложение 2'!H234</f>
        <v>3627.80209</v>
      </c>
      <c r="H233" s="50">
        <f t="shared" si="3"/>
        <v>77.84983025751073</v>
      </c>
    </row>
    <row r="234" spans="1:8" ht="66" customHeight="1" outlineLevel="5">
      <c r="A234" s="37" t="str">
        <f>'Приложение 2'!A235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2023-2028 годы "</v>
      </c>
      <c r="B234" s="64" t="str">
        <f>'Приложение 2'!C235</f>
        <v>0707</v>
      </c>
      <c r="C234" s="64" t="str">
        <f>'Приложение 2'!D235</f>
        <v>07</v>
      </c>
      <c r="D234" s="64">
        <f>'Приложение 2'!E235</f>
        <v>0</v>
      </c>
      <c r="E234" s="64"/>
      <c r="F234" s="50">
        <f>'Приложение 2'!G235</f>
        <v>60</v>
      </c>
      <c r="G234" s="50">
        <f>'Приложение 2'!H235</f>
        <v>46.5</v>
      </c>
      <c r="H234" s="50">
        <f t="shared" si="3"/>
        <v>77.5</v>
      </c>
    </row>
    <row r="235" spans="1:8" ht="24" outlineLevel="5">
      <c r="A235" s="37" t="str">
        <f>'Приложение 2'!A236</f>
        <v>Подпрограмма "Комплексные меры по противодействию наркомании"</v>
      </c>
      <c r="B235" s="64" t="str">
        <f>'Приложение 2'!C236</f>
        <v>0707</v>
      </c>
      <c r="C235" s="64" t="str">
        <f>'Приложение 2'!D236</f>
        <v>07</v>
      </c>
      <c r="D235" s="64">
        <f>'Приложение 2'!E236</f>
        <v>1</v>
      </c>
      <c r="E235" s="64"/>
      <c r="F235" s="50">
        <f>'Приложение 2'!G236</f>
        <v>20</v>
      </c>
      <c r="G235" s="50">
        <f>'Приложение 2'!H236</f>
        <v>16.5</v>
      </c>
      <c r="H235" s="50">
        <f t="shared" si="3"/>
        <v>82.5</v>
      </c>
    </row>
    <row r="236" spans="1:8" ht="27" customHeight="1" outlineLevel="5">
      <c r="A236" s="37" t="str">
        <f>'Приложение 2'!A237</f>
        <v>Закупка товаров, работ и услуг для государственных (муниципальных) нужд</v>
      </c>
      <c r="B236" s="64" t="str">
        <f>'Приложение 2'!C237</f>
        <v>0707</v>
      </c>
      <c r="C236" s="64" t="str">
        <f>'Приложение 2'!D237</f>
        <v>07</v>
      </c>
      <c r="D236" s="64">
        <f>'Приложение 2'!E237</f>
        <v>1</v>
      </c>
      <c r="E236" s="64">
        <f>'Приложение 2'!F237</f>
        <v>200</v>
      </c>
      <c r="F236" s="50">
        <f>'Приложение 2'!G237</f>
        <v>20</v>
      </c>
      <c r="G236" s="50">
        <f>'Приложение 2'!H237</f>
        <v>16.5</v>
      </c>
      <c r="H236" s="50">
        <f t="shared" si="3"/>
        <v>82.5</v>
      </c>
    </row>
    <row r="237" spans="1:8" ht="27.75" customHeight="1" outlineLevel="5">
      <c r="A237" s="37" t="str">
        <f>'Приложение 2'!A238</f>
        <v>Подпрограмма "Реализация мероприятий молодежной политики и социальной адаптации молодежи "</v>
      </c>
      <c r="B237" s="64" t="str">
        <f>'Приложение 2'!C238</f>
        <v>0707</v>
      </c>
      <c r="C237" s="64" t="str">
        <f>'Приложение 2'!D238</f>
        <v>07</v>
      </c>
      <c r="D237" s="64">
        <f>'Приложение 2'!E238</f>
        <v>2</v>
      </c>
      <c r="E237" s="64"/>
      <c r="F237" s="50">
        <f>'Приложение 2'!G238</f>
        <v>30</v>
      </c>
      <c r="G237" s="50">
        <f>'Приложение 2'!H238</f>
        <v>30</v>
      </c>
      <c r="H237" s="50">
        <f t="shared" si="3"/>
        <v>100</v>
      </c>
    </row>
    <row r="238" spans="1:8" ht="22.5" customHeight="1" outlineLevel="5">
      <c r="A238" s="37" t="str">
        <f>'Приложение 2'!A239</f>
        <v>Закупка товаров, работ и услуг для государственных (муниципальных) нужд</v>
      </c>
      <c r="B238" s="64" t="str">
        <f>'Приложение 2'!C239</f>
        <v>0707</v>
      </c>
      <c r="C238" s="64" t="str">
        <f>'Приложение 2'!D239</f>
        <v>07</v>
      </c>
      <c r="D238" s="64">
        <f>'Приложение 2'!E239</f>
        <v>2</v>
      </c>
      <c r="E238" s="64">
        <f>'Приложение 2'!F239</f>
        <v>200</v>
      </c>
      <c r="F238" s="50">
        <f>'Приложение 2'!G239</f>
        <v>30</v>
      </c>
      <c r="G238" s="50">
        <f>'Приложение 2'!H239</f>
        <v>30</v>
      </c>
      <c r="H238" s="50">
        <f t="shared" si="3"/>
        <v>100</v>
      </c>
    </row>
    <row r="239" spans="1:8" ht="73.5" customHeight="1" hidden="1" outlineLevel="5">
      <c r="A239" s="37" t="str">
        <f>'Приложение 2'!A240</f>
        <v>Закупка товаров, работ и услуг для государственных (муниципальных) нужд (Субвенция на осуществление органами местного самоуправления Волгоградской области государственных полномочий 
по контролю за проведением поисковой работы на территории Волгоградской области )</v>
      </c>
      <c r="B239" s="64" t="str">
        <f>'Приложение 2'!C240</f>
        <v>0707</v>
      </c>
      <c r="C239" s="64" t="str">
        <f>'Приложение 2'!D240</f>
        <v>07</v>
      </c>
      <c r="D239" s="64">
        <f>'Приложение 2'!E240</f>
        <v>2</v>
      </c>
      <c r="E239" s="64">
        <f>'Приложение 2'!F240</f>
        <v>200</v>
      </c>
      <c r="F239" s="50">
        <f>'Приложение 2'!G240</f>
        <v>0</v>
      </c>
      <c r="G239" s="50">
        <f>'Приложение 2'!H240</f>
        <v>0</v>
      </c>
      <c r="H239" s="50" t="e">
        <f t="shared" si="3"/>
        <v>#DIV/0!</v>
      </c>
    </row>
    <row r="240" spans="1:8" ht="24" outlineLevel="5">
      <c r="A240" s="37" t="str">
        <f>'Приложение 2'!A241</f>
        <v>Подпрограмма " Профилактика безнадзорности, правонарушений и неблагополучия несовершеннолетних"</v>
      </c>
      <c r="B240" s="64" t="str">
        <f>'Приложение 2'!C241</f>
        <v>0707</v>
      </c>
      <c r="C240" s="64" t="str">
        <f>'Приложение 2'!D241</f>
        <v>07</v>
      </c>
      <c r="D240" s="64">
        <f>'Приложение 2'!E241</f>
        <v>3</v>
      </c>
      <c r="E240" s="64"/>
      <c r="F240" s="50">
        <f>'Приложение 2'!G241</f>
        <v>10</v>
      </c>
      <c r="G240" s="50">
        <f>'Приложение 2'!H241</f>
        <v>0</v>
      </c>
      <c r="H240" s="50">
        <f t="shared" si="3"/>
        <v>0</v>
      </c>
    </row>
    <row r="241" spans="1:8" ht="24" outlineLevel="5">
      <c r="A241" s="37" t="str">
        <f>'Приложение 2'!A242</f>
        <v>Закупка товаров, работ и услуг для государственных (муниципальных) нужд</v>
      </c>
      <c r="B241" s="64" t="str">
        <f>'Приложение 2'!C242</f>
        <v>0707</v>
      </c>
      <c r="C241" s="64" t="str">
        <f>'Приложение 2'!D242</f>
        <v>07</v>
      </c>
      <c r="D241" s="64">
        <f>'Приложение 2'!E242</f>
        <v>3</v>
      </c>
      <c r="E241" s="64">
        <f>'Приложение 2'!F242</f>
        <v>200</v>
      </c>
      <c r="F241" s="50">
        <f>'Приложение 2'!G242</f>
        <v>10</v>
      </c>
      <c r="G241" s="50">
        <f>'Приложение 2'!H242</f>
        <v>0</v>
      </c>
      <c r="H241" s="50">
        <f t="shared" si="3"/>
        <v>0</v>
      </c>
    </row>
    <row r="242" spans="1:8" ht="12.75" hidden="1" outlineLevel="5">
      <c r="A242" s="37">
        <f>'Приложение 2'!A243</f>
        <v>0</v>
      </c>
      <c r="B242" s="64" t="str">
        <f>'Приложение 2'!C243</f>
        <v>0707</v>
      </c>
      <c r="C242" s="64" t="str">
        <f>'Приложение 2'!D243</f>
        <v>07</v>
      </c>
      <c r="D242" s="64">
        <f>'Приложение 2'!E243</f>
        <v>3</v>
      </c>
      <c r="E242" s="64">
        <f>'Приложение 2'!F243</f>
        <v>0</v>
      </c>
      <c r="F242" s="50">
        <f>'Приложение 2'!G243</f>
        <v>0</v>
      </c>
      <c r="G242" s="50">
        <f>'Приложение 2'!H243</f>
        <v>0</v>
      </c>
      <c r="H242" s="50" t="e">
        <f t="shared" si="3"/>
        <v>#DIV/0!</v>
      </c>
    </row>
    <row r="243" spans="1:8" ht="12.75" hidden="1" outlineLevel="5">
      <c r="A243" s="37">
        <f>'Приложение 2'!A244</f>
        <v>0</v>
      </c>
      <c r="B243" s="64" t="str">
        <f>'Приложение 2'!C244</f>
        <v>0707</v>
      </c>
      <c r="C243" s="64" t="str">
        <f>'Приложение 2'!D244</f>
        <v>07</v>
      </c>
      <c r="D243" s="64">
        <f>'Приложение 2'!E244</f>
        <v>3</v>
      </c>
      <c r="E243" s="64">
        <f>'Приложение 2'!F244</f>
        <v>200</v>
      </c>
      <c r="F243" s="50">
        <f>'Приложение 2'!G244</f>
        <v>0</v>
      </c>
      <c r="G243" s="50">
        <f>'Приложение 2'!H244</f>
        <v>0</v>
      </c>
      <c r="H243" s="50" t="e">
        <f t="shared" si="3"/>
        <v>#DIV/0!</v>
      </c>
    </row>
    <row r="244" spans="1:8" ht="38.25" customHeight="1" outlineLevel="5">
      <c r="A244" s="37" t="str">
        <f>'Приложение 2'!A245</f>
        <v>Ведомственная целевая программа "Молодежная политика на территории Алексеевского муниципального района на 2022-2024 годы" (СДЦ)</v>
      </c>
      <c r="B244" s="64" t="str">
        <f>'Приложение 2'!C245</f>
        <v>0707</v>
      </c>
      <c r="C244" s="64" t="str">
        <f>'Приложение 2'!D245</f>
        <v>56</v>
      </c>
      <c r="D244" s="64">
        <f>'Приложение 2'!E245</f>
        <v>0</v>
      </c>
      <c r="E244" s="64"/>
      <c r="F244" s="50">
        <f>'Приложение 2'!G245</f>
        <v>4600</v>
      </c>
      <c r="G244" s="50">
        <f>'Приложение 2'!H245</f>
        <v>3581.30209</v>
      </c>
      <c r="H244" s="50">
        <f t="shared" si="3"/>
        <v>77.85439326086957</v>
      </c>
    </row>
    <row r="245" spans="1:8" ht="29.25" customHeight="1" outlineLevel="5">
      <c r="A245" s="37" t="str">
        <f>'Приложение 2'!A246</f>
        <v>Предоставление субсидий бюджетным, автономным учреждениям и иным некоммерческим организациям</v>
      </c>
      <c r="B245" s="64" t="str">
        <f>'Приложение 2'!C246</f>
        <v>0707</v>
      </c>
      <c r="C245" s="64" t="str">
        <f>'Приложение 2'!D246</f>
        <v>56</v>
      </c>
      <c r="D245" s="64">
        <f>'Приложение 2'!E246</f>
        <v>0</v>
      </c>
      <c r="E245" s="64">
        <f>'Приложение 2'!F246</f>
        <v>600</v>
      </c>
      <c r="F245" s="50">
        <f>'Приложение 2'!G246</f>
        <v>4600</v>
      </c>
      <c r="G245" s="50">
        <f>'Приложение 2'!H246</f>
        <v>3581.30209</v>
      </c>
      <c r="H245" s="50">
        <f t="shared" si="3"/>
        <v>77.85439326086957</v>
      </c>
    </row>
    <row r="246" spans="1:8" ht="18.75" customHeight="1" outlineLevel="5">
      <c r="A246" s="37" t="str">
        <f>'Приложение 2'!A247</f>
        <v>Другие вопросы в области образования</v>
      </c>
      <c r="B246" s="64" t="str">
        <f>'Приложение 2'!C247</f>
        <v>0709</v>
      </c>
      <c r="C246" s="64"/>
      <c r="D246" s="64"/>
      <c r="E246" s="64"/>
      <c r="F246" s="50">
        <f>'Приложение 2'!G247</f>
        <v>8060.17536</v>
      </c>
      <c r="G246" s="50">
        <f>'Приложение 2'!H247</f>
        <v>6497.09087</v>
      </c>
      <c r="H246" s="50">
        <f t="shared" si="3"/>
        <v>80.60731410687323</v>
      </c>
    </row>
    <row r="247" spans="1:8" ht="27.75" customHeight="1" outlineLevel="5">
      <c r="A247" s="37" t="str">
        <f>'Приложение 2'!A248</f>
        <v>Муниципальная программа "Развитие образования детей на территории Алексеевского муниципального района на 2023-2025 годы"</v>
      </c>
      <c r="B247" s="64" t="str">
        <f>'Приложение 2'!C248</f>
        <v>0709</v>
      </c>
      <c r="C247" s="64" t="str">
        <f>'Приложение 2'!D248</f>
        <v>53</v>
      </c>
      <c r="D247" s="64">
        <f>'Приложение 2'!E248</f>
        <v>0</v>
      </c>
      <c r="E247" s="64"/>
      <c r="F247" s="50">
        <f>'Приложение 2'!G248</f>
        <v>3726.42536</v>
      </c>
      <c r="G247" s="50">
        <f>'Приложение 2'!H248</f>
        <v>2845.8494100000003</v>
      </c>
      <c r="H247" s="50">
        <f t="shared" si="3"/>
        <v>76.36941935152566</v>
      </c>
    </row>
    <row r="248" spans="1:8" ht="18.75" customHeight="1" outlineLevel="5">
      <c r="A248" s="37" t="str">
        <f>'Приложение 2'!A249</f>
        <v>Подпрограмма "Развитие общего образования детей"</v>
      </c>
      <c r="B248" s="64" t="str">
        <f>'Приложение 2'!C249</f>
        <v>0709</v>
      </c>
      <c r="C248" s="64" t="str">
        <f>'Приложение 2'!D249</f>
        <v>53</v>
      </c>
      <c r="D248" s="64">
        <f>'Приложение 2'!E249</f>
        <v>2</v>
      </c>
      <c r="E248" s="64">
        <f>'Приложение 2'!F249</f>
        <v>0</v>
      </c>
      <c r="F248" s="50">
        <f>'Приложение 2'!G249</f>
        <v>3726.42536</v>
      </c>
      <c r="G248" s="50">
        <f>'Приложение 2'!H249</f>
        <v>2845.8494100000003</v>
      </c>
      <c r="H248" s="50">
        <f t="shared" si="3"/>
        <v>76.36941935152566</v>
      </c>
    </row>
    <row r="249" spans="1:8" ht="55.5" customHeight="1" outlineLevel="5">
      <c r="A249" s="37" t="str">
        <f>'Приложение 2'!A250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49" s="64" t="str">
        <f>'Приложение 2'!C250</f>
        <v>0709</v>
      </c>
      <c r="C249" s="64" t="str">
        <f>'Приложение 2'!D250</f>
        <v>53</v>
      </c>
      <c r="D249" s="64">
        <f>'Приложение 2'!E250</f>
        <v>2</v>
      </c>
      <c r="E249" s="64">
        <f>'Приложение 2'!F250</f>
        <v>100</v>
      </c>
      <c r="F249" s="50">
        <f>'Приложение 2'!G250</f>
        <v>229.152</v>
      </c>
      <c r="G249" s="50">
        <f>'Приложение 2'!H250</f>
        <v>178.76976</v>
      </c>
      <c r="H249" s="50">
        <f t="shared" si="3"/>
        <v>78.01361541684122</v>
      </c>
    </row>
    <row r="250" spans="1:8" ht="75.75" customHeight="1" outlineLevel="5">
      <c r="A250" s="37" t="str">
        <f>'Приложение 2'!A251</f>
        <v>Предоставление субсидий бюджетным, автономным учреждениям и иным некоммерческим организациям (на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организациях)</v>
      </c>
      <c r="B250" s="64" t="str">
        <f>'Приложение 2'!C251</f>
        <v>0709</v>
      </c>
      <c r="C250" s="64" t="str">
        <f>'Приложение 2'!D251</f>
        <v>53</v>
      </c>
      <c r="D250" s="64">
        <f>'Приложение 2'!E251</f>
        <v>2</v>
      </c>
      <c r="E250" s="64">
        <f>'Приложение 2'!F251</f>
        <v>600</v>
      </c>
      <c r="F250" s="50">
        <f>'Приложение 2'!G251</f>
        <v>3497.27336</v>
      </c>
      <c r="G250" s="50">
        <f>'Приложение 2'!H251</f>
        <v>2667.07965</v>
      </c>
      <c r="H250" s="50">
        <f t="shared" si="3"/>
        <v>76.26168661862908</v>
      </c>
    </row>
    <row r="251" spans="1:8" ht="20.25" customHeight="1" outlineLevel="5">
      <c r="A251" s="37" t="str">
        <f>'Приложение 2'!A252</f>
        <v>Организация отдыха детей в лагерях дневного пребывания</v>
      </c>
      <c r="B251" s="64" t="str">
        <f>'Приложение 2'!C252</f>
        <v>0709</v>
      </c>
      <c r="C251" s="64" t="str">
        <f>'Приложение 2'!D252</f>
        <v>99</v>
      </c>
      <c r="D251" s="64"/>
      <c r="E251" s="64"/>
      <c r="F251" s="50">
        <f>'Приложение 2'!G252</f>
        <v>2683.75</v>
      </c>
      <c r="G251" s="50">
        <f>'Приложение 2'!H252</f>
        <v>2603.411</v>
      </c>
      <c r="H251" s="50">
        <f t="shared" si="3"/>
        <v>97.006464834653</v>
      </c>
    </row>
    <row r="252" spans="1:8" ht="24.75" customHeight="1" outlineLevel="5">
      <c r="A252" s="37" t="str">
        <f>'Приложение 2'!A253</f>
        <v>Непрограммные расходы органов местного самоуправления Алексеевского муниципального района</v>
      </c>
      <c r="B252" s="64" t="str">
        <f>'Приложение 2'!C253</f>
        <v>0709</v>
      </c>
      <c r="C252" s="64" t="str">
        <f>'Приложение 2'!D253</f>
        <v>99</v>
      </c>
      <c r="D252" s="64"/>
      <c r="E252" s="64"/>
      <c r="F252" s="50">
        <f>'Приложение 2'!G253</f>
        <v>2683.75</v>
      </c>
      <c r="G252" s="50">
        <f>'Приложение 2'!H253</f>
        <v>2603.411</v>
      </c>
      <c r="H252" s="50">
        <f t="shared" si="3"/>
        <v>97.006464834653</v>
      </c>
    </row>
    <row r="253" spans="1:8" ht="36" outlineLevel="5">
      <c r="A253" s="37" t="str">
        <f>'Приложение 2'!A254</f>
        <v>Субсидия на организацию отдыха детей в каникулярный период в лагерях дневного пребывания на базе муниципальных образовательных организаций</v>
      </c>
      <c r="B253" s="64" t="str">
        <f>'Приложение 2'!C254</f>
        <v>0709</v>
      </c>
      <c r="C253" s="64" t="str">
        <f>'Приложение 2'!D254</f>
        <v>99</v>
      </c>
      <c r="D253" s="64">
        <f>'Приложение 2'!E254</f>
        <v>0</v>
      </c>
      <c r="E253" s="64">
        <f>'Приложение 2'!F254</f>
        <v>600</v>
      </c>
      <c r="F253" s="50">
        <f>'Приложение 2'!G254</f>
        <v>2415.4</v>
      </c>
      <c r="G253" s="50">
        <f>'Приложение 2'!H254</f>
        <v>2343.07</v>
      </c>
      <c r="H253" s="50">
        <f t="shared" si="3"/>
        <v>97.00546493334437</v>
      </c>
    </row>
    <row r="254" spans="1:8" ht="25.5" customHeight="1" outlineLevel="5">
      <c r="A254" s="37" t="str">
        <f>'Приложение 2'!A255</f>
        <v>Предоставление субсидий бюджетным, автономным учреждениям и иным некоммерческим организациям</v>
      </c>
      <c r="B254" s="64" t="str">
        <f>'Приложение 2'!C255</f>
        <v>0709</v>
      </c>
      <c r="C254" s="64" t="str">
        <f>'Приложение 2'!D255</f>
        <v>99</v>
      </c>
      <c r="D254" s="64">
        <f>'Приложение 2'!E255</f>
        <v>0</v>
      </c>
      <c r="E254" s="64">
        <f>'Приложение 2'!F255</f>
        <v>600</v>
      </c>
      <c r="F254" s="50">
        <f>'Приложение 2'!G255</f>
        <v>268.35</v>
      </c>
      <c r="G254" s="50">
        <f>'Приложение 2'!H255</f>
        <v>260.341</v>
      </c>
      <c r="H254" s="50">
        <f t="shared" si="3"/>
        <v>97.0154648779579</v>
      </c>
    </row>
    <row r="255" spans="1:8" ht="61.5" customHeight="1" hidden="1" outlineLevel="5">
      <c r="A255" s="37" t="str">
        <f>'Приложение 2'!A256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255" s="64" t="str">
        <f>'Приложение 2'!C256</f>
        <v>0709</v>
      </c>
      <c r="C255" s="64" t="str">
        <f>'Приложение 2'!D256</f>
        <v>08</v>
      </c>
      <c r="D255" s="64">
        <f>'Приложение 2'!E256</f>
        <v>0</v>
      </c>
      <c r="E255" s="64"/>
      <c r="F255" s="50">
        <f>'Приложение 2'!G256</f>
        <v>0</v>
      </c>
      <c r="G255" s="50">
        <f>'Приложение 2'!H256</f>
        <v>0</v>
      </c>
      <c r="H255" s="50" t="e">
        <f t="shared" si="3"/>
        <v>#DIV/0!</v>
      </c>
    </row>
    <row r="256" spans="1:8" ht="12.75" hidden="1" outlineLevel="2">
      <c r="A256" s="37" t="str">
        <f>'Приложение 2'!A257</f>
        <v>Социальное обеспечение и иные выплаты населению</v>
      </c>
      <c r="B256" s="64" t="str">
        <f>'Приложение 2'!C257</f>
        <v>0709</v>
      </c>
      <c r="C256" s="64" t="str">
        <f>'Приложение 2'!D257</f>
        <v>08</v>
      </c>
      <c r="D256" s="64">
        <f>'Приложение 2'!E257</f>
        <v>0</v>
      </c>
      <c r="E256" s="64" t="s">
        <v>200</v>
      </c>
      <c r="F256" s="50">
        <f>'Приложение 2'!G257</f>
        <v>0</v>
      </c>
      <c r="G256" s="50">
        <f>'Приложение 2'!H257</f>
        <v>0</v>
      </c>
      <c r="H256" s="50" t="e">
        <f t="shared" si="3"/>
        <v>#DIV/0!</v>
      </c>
    </row>
    <row r="257" spans="1:8" ht="48" outlineLevel="3">
      <c r="A257" s="37" t="str">
        <f>'Приложение 2'!A258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2022-2024 годы" </v>
      </c>
      <c r="B257" s="64" t="str">
        <f>'Приложение 2'!C258</f>
        <v>0709</v>
      </c>
      <c r="C257" s="64" t="str">
        <f>'Приложение 2'!D258</f>
        <v>58</v>
      </c>
      <c r="D257" s="64">
        <f>'Приложение 2'!E258</f>
        <v>0</v>
      </c>
      <c r="E257" s="64"/>
      <c r="F257" s="50">
        <f>'Приложение 2'!G258</f>
        <v>1650</v>
      </c>
      <c r="G257" s="50">
        <f>'Приложение 2'!H258</f>
        <v>1047.8304600000001</v>
      </c>
      <c r="H257" s="50">
        <f t="shared" si="3"/>
        <v>63.50487636363638</v>
      </c>
    </row>
    <row r="258" spans="1:8" ht="48" outlineLevel="3">
      <c r="A258" s="37" t="str">
        <f>'Приложение 2'!A259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58" s="64" t="str">
        <f>'Приложение 2'!C259</f>
        <v>0709</v>
      </c>
      <c r="C258" s="64" t="str">
        <f>'Приложение 2'!D259</f>
        <v>58</v>
      </c>
      <c r="D258" s="64">
        <f>'Приложение 2'!E259</f>
        <v>0</v>
      </c>
      <c r="E258" s="64">
        <f>'Приложение 2'!F259</f>
        <v>100</v>
      </c>
      <c r="F258" s="50">
        <f>'Приложение 2'!G259</f>
        <v>1599.99571</v>
      </c>
      <c r="G258" s="50">
        <f>'Приложение 2'!H259</f>
        <v>1047.82617</v>
      </c>
      <c r="H258" s="50">
        <f t="shared" si="3"/>
        <v>65.4893112182157</v>
      </c>
    </row>
    <row r="259" spans="1:8" ht="14.25" customHeight="1" outlineLevel="3">
      <c r="A259" s="37" t="str">
        <f>'Приложение 2'!A260</f>
        <v>Закупка товаров, работ и услуг для государственных (муниципальных) нужд</v>
      </c>
      <c r="B259" s="64" t="str">
        <f>'Приложение 2'!C260</f>
        <v>0709</v>
      </c>
      <c r="C259" s="64" t="str">
        <f>'Приложение 2'!D260</f>
        <v>58</v>
      </c>
      <c r="D259" s="64">
        <f>'Приложение 2'!E260</f>
        <v>0</v>
      </c>
      <c r="E259" s="64">
        <f>'Приложение 2'!F260</f>
        <v>200</v>
      </c>
      <c r="F259" s="50">
        <f>'Приложение 2'!G260</f>
        <v>50</v>
      </c>
      <c r="G259" s="50">
        <f>'Приложение 2'!H260</f>
        <v>0</v>
      </c>
      <c r="H259" s="50">
        <f t="shared" si="3"/>
        <v>0</v>
      </c>
    </row>
    <row r="260" spans="1:8" ht="12.75" hidden="1" outlineLevel="3">
      <c r="A260" s="37" t="str">
        <f>'Приложение 2'!A261</f>
        <v>Иные бюджетные ассигнования</v>
      </c>
      <c r="B260" s="64" t="str">
        <f>'Приложение 2'!C261</f>
        <v>0709</v>
      </c>
      <c r="C260" s="64" t="str">
        <f>'Приложение 2'!D261</f>
        <v>58</v>
      </c>
      <c r="D260" s="64">
        <f>'Приложение 2'!E261</f>
        <v>0</v>
      </c>
      <c r="E260" s="64">
        <f>'Приложение 2'!F261</f>
        <v>800</v>
      </c>
      <c r="F260" s="50">
        <f>'Приложение 2'!G261</f>
        <v>0.00429</v>
      </c>
      <c r="G260" s="50">
        <f>'Приложение 2'!H261</f>
        <v>0.00429</v>
      </c>
      <c r="H260" s="50">
        <f t="shared" si="3"/>
        <v>100</v>
      </c>
    </row>
    <row r="261" spans="1:8" ht="12.75" outlineLevel="3">
      <c r="A261" s="37" t="str">
        <f>'Приложение 2'!A262</f>
        <v>Культура, кинематография </v>
      </c>
      <c r="B261" s="64" t="str">
        <f>'Приложение 2'!C262</f>
        <v>0800</v>
      </c>
      <c r="C261" s="64"/>
      <c r="D261" s="64"/>
      <c r="E261" s="64"/>
      <c r="F261" s="50">
        <f>'Приложение 2'!G262</f>
        <v>31513.15984</v>
      </c>
      <c r="G261" s="50">
        <f>'Приложение 2'!H262</f>
        <v>28886.93188</v>
      </c>
      <c r="H261" s="50">
        <f t="shared" si="3"/>
        <v>91.6662499941802</v>
      </c>
    </row>
    <row r="262" spans="1:8" ht="12.75" outlineLevel="3">
      <c r="A262" s="37" t="str">
        <f>'Приложение 2'!A263</f>
        <v>Культура</v>
      </c>
      <c r="B262" s="64" t="str">
        <f>'Приложение 2'!C263</f>
        <v>0801</v>
      </c>
      <c r="C262" s="64"/>
      <c r="D262" s="64"/>
      <c r="E262" s="64"/>
      <c r="F262" s="50">
        <f>'Приложение 2'!G263</f>
        <v>31019.85984</v>
      </c>
      <c r="G262" s="50">
        <f>'Приложение 2'!H263</f>
        <v>28539.450820000002</v>
      </c>
      <c r="H262" s="50">
        <f t="shared" si="3"/>
        <v>92.00380326412204</v>
      </c>
    </row>
    <row r="263" spans="1:8" ht="24" outlineLevel="3">
      <c r="A263" s="37" t="str">
        <f>'Приложение 2'!A264</f>
        <v>Муниципальная программа "Комплексное развитие сельских территорий"</v>
      </c>
      <c r="B263" s="64" t="str">
        <f>'Приложение 2'!C264</f>
        <v>0801</v>
      </c>
      <c r="C263" s="64" t="str">
        <f>'Приложение 2'!D264</f>
        <v>03</v>
      </c>
      <c r="D263" s="64">
        <f>'Приложение 2'!E264</f>
        <v>0</v>
      </c>
      <c r="E263" s="64"/>
      <c r="F263" s="50">
        <f>'Приложение 2'!G264</f>
        <v>19163.15984</v>
      </c>
      <c r="G263" s="50">
        <f>'Приложение 2'!H264</f>
        <v>19163.15984</v>
      </c>
      <c r="H263" s="50">
        <f t="shared" si="3"/>
        <v>100</v>
      </c>
    </row>
    <row r="264" spans="1:8" ht="36" outlineLevel="3">
      <c r="A264" s="37" t="str">
        <f>'Приложение 2'!A265</f>
        <v>Закупка товаров, работ и услуг для государственных (муниципальных) нужд за счет субсидий на реализацию проектов комплексного развития сельских территорий</v>
      </c>
      <c r="B264" s="64" t="str">
        <f>'Приложение 2'!C265</f>
        <v>0801</v>
      </c>
      <c r="C264" s="64" t="str">
        <f>'Приложение 2'!D265</f>
        <v>03</v>
      </c>
      <c r="D264" s="64">
        <f>'Приложение 2'!E265</f>
        <v>0</v>
      </c>
      <c r="E264" s="64">
        <f>'Приложение 2'!F265</f>
        <v>200</v>
      </c>
      <c r="F264" s="50">
        <f>'Приложение 2'!G265</f>
        <v>18740.82475</v>
      </c>
      <c r="G264" s="50">
        <f>'Приложение 2'!H265</f>
        <v>18740.82475</v>
      </c>
      <c r="H264" s="50">
        <f t="shared" si="3"/>
        <v>100</v>
      </c>
    </row>
    <row r="265" spans="1:8" ht="24" outlineLevel="3">
      <c r="A265" s="37" t="str">
        <f>'Приложение 2'!A266</f>
        <v>Закупка товаров, работ и услуг для государственных (муниципальных) нужд (софинансирование)</v>
      </c>
      <c r="B265" s="64" t="str">
        <f>'Приложение 2'!C266</f>
        <v>0801</v>
      </c>
      <c r="C265" s="64" t="str">
        <f>'Приложение 2'!D266</f>
        <v>03</v>
      </c>
      <c r="D265" s="64">
        <f>'Приложение 2'!E266</f>
        <v>0</v>
      </c>
      <c r="E265" s="64">
        <f>'Приложение 2'!F266</f>
        <v>200</v>
      </c>
      <c r="F265" s="50">
        <f>'Приложение 2'!G266</f>
        <v>422.33509000000004</v>
      </c>
      <c r="G265" s="50">
        <f>'Приложение 2'!H266</f>
        <v>422.33509000000004</v>
      </c>
      <c r="H265" s="50">
        <f t="shared" si="3"/>
        <v>100</v>
      </c>
    </row>
    <row r="266" spans="1:8" ht="38.25" customHeight="1" outlineLevel="3">
      <c r="A266" s="37" t="str">
        <f>'Приложение 2'!A267</f>
        <v>Муниципальная программа "Развитие народных художественных промыслов Алексеевского муниципального района на 2019-2023 годы"</v>
      </c>
      <c r="B266" s="64" t="str">
        <f>'Приложение 2'!C267</f>
        <v>0801</v>
      </c>
      <c r="C266" s="64" t="str">
        <f>'Приложение 2'!D267</f>
        <v>12</v>
      </c>
      <c r="D266" s="64">
        <f>'Приложение 2'!E267</f>
        <v>0</v>
      </c>
      <c r="E266" s="64"/>
      <c r="F266" s="50">
        <f>'Приложение 2'!G267</f>
        <v>20</v>
      </c>
      <c r="G266" s="50">
        <f>'Приложение 2'!H267</f>
        <v>0</v>
      </c>
      <c r="H266" s="50">
        <f t="shared" si="3"/>
        <v>0</v>
      </c>
    </row>
    <row r="267" spans="1:8" ht="26.25" customHeight="1" outlineLevel="3">
      <c r="A267" s="37" t="str">
        <f>'Приложение 2'!A268</f>
        <v>Предоставление субсидий бюджетным, автономным учреждениям и иным некоммерческим организациям</v>
      </c>
      <c r="B267" s="64" t="str">
        <f>'Приложение 2'!C268</f>
        <v>0801</v>
      </c>
      <c r="C267" s="64" t="str">
        <f>'Приложение 2'!D268</f>
        <v>12</v>
      </c>
      <c r="D267" s="64">
        <f>'Приложение 2'!E268</f>
        <v>0</v>
      </c>
      <c r="E267" s="64">
        <f>'Приложение 2'!F268</f>
        <v>600</v>
      </c>
      <c r="F267" s="50">
        <f>'Приложение 2'!G268</f>
        <v>20</v>
      </c>
      <c r="G267" s="50">
        <f>'Приложение 2'!H268</f>
        <v>0</v>
      </c>
      <c r="H267" s="50">
        <f aca="true" t="shared" si="4" ref="H267:H330">SUM(G267/F267)*100</f>
        <v>0</v>
      </c>
    </row>
    <row r="268" spans="1:8" ht="36" outlineLevel="3">
      <c r="A268" s="37" t="str">
        <f>'Приложение 2'!A269</f>
        <v>Муниципальная программа "О поддержке деятельности казачьих обществ Алексеевского муниципального района на 2019-2023 годы"</v>
      </c>
      <c r="B268" s="64" t="str">
        <f>'Приложение 2'!C269</f>
        <v>0801</v>
      </c>
      <c r="C268" s="64" t="str">
        <f>'Приложение 2'!D269</f>
        <v>13</v>
      </c>
      <c r="D268" s="64">
        <f>'Приложение 2'!E269</f>
        <v>0</v>
      </c>
      <c r="E268" s="64"/>
      <c r="F268" s="50">
        <f>'Приложение 2'!G269</f>
        <v>20</v>
      </c>
      <c r="G268" s="50">
        <f>'Приложение 2'!H269</f>
        <v>0</v>
      </c>
      <c r="H268" s="50">
        <f t="shared" si="4"/>
        <v>0</v>
      </c>
    </row>
    <row r="269" spans="1:8" ht="24" outlineLevel="3">
      <c r="A269" s="37" t="str">
        <f>'Приложение 2'!A270</f>
        <v>Предоставление субсидий бюджетным, автономным учреждениям и иным некоммерческим организациям</v>
      </c>
      <c r="B269" s="64" t="str">
        <f>'Приложение 2'!C270</f>
        <v>0801</v>
      </c>
      <c r="C269" s="64" t="str">
        <f>'Приложение 2'!D270</f>
        <v>13</v>
      </c>
      <c r="D269" s="64">
        <f>'Приложение 2'!E270</f>
        <v>0</v>
      </c>
      <c r="E269" s="64">
        <f>'Приложение 2'!F270</f>
        <v>600</v>
      </c>
      <c r="F269" s="50">
        <f>'Приложение 2'!G270</f>
        <v>20</v>
      </c>
      <c r="G269" s="50">
        <f>'Приложение 2'!H270</f>
        <v>0</v>
      </c>
      <c r="H269" s="50">
        <f t="shared" si="4"/>
        <v>0</v>
      </c>
    </row>
    <row r="270" spans="1:8" ht="24" outlineLevel="3">
      <c r="A270" s="37" t="str">
        <f>'Приложение 2'!A271</f>
        <v>Непрограммные расходы органов местного самоуправления Алексеевского муниципального района</v>
      </c>
      <c r="B270" s="64" t="str">
        <f>'Приложение 2'!C271</f>
        <v>0801</v>
      </c>
      <c r="C270" s="64" t="str">
        <f>'Приложение 2'!D271</f>
        <v>99</v>
      </c>
      <c r="D270" s="64">
        <f>'Приложение 2'!E271</f>
        <v>0</v>
      </c>
      <c r="E270" s="64"/>
      <c r="F270" s="50">
        <f>'Приложение 2'!G271</f>
        <v>10</v>
      </c>
      <c r="G270" s="50">
        <f>'Приложение 2'!H271</f>
        <v>10</v>
      </c>
      <c r="H270" s="50">
        <f t="shared" si="4"/>
        <v>100</v>
      </c>
    </row>
    <row r="271" spans="1:8" ht="24" outlineLevel="3">
      <c r="A271" s="37" t="str">
        <f>'Приложение 2'!A272</f>
        <v>Закупка товаров, работ и услуг для государственных (муниципальных) нужд</v>
      </c>
      <c r="B271" s="64" t="str">
        <f>'Приложение 2'!C272</f>
        <v>0801</v>
      </c>
      <c r="C271" s="64" t="str">
        <f>'Приложение 2'!D272</f>
        <v>99</v>
      </c>
      <c r="D271" s="64">
        <f>'Приложение 2'!E272</f>
        <v>0</v>
      </c>
      <c r="E271" s="64">
        <f>'Приложение 2'!F272</f>
        <v>200</v>
      </c>
      <c r="F271" s="50">
        <f>'Приложение 2'!G272</f>
        <v>10</v>
      </c>
      <c r="G271" s="50">
        <f>'Приложение 2'!H272</f>
        <v>10</v>
      </c>
      <c r="H271" s="50">
        <f t="shared" si="4"/>
        <v>100</v>
      </c>
    </row>
    <row r="272" spans="1:8" ht="36.75" customHeight="1" outlineLevel="1">
      <c r="A272" s="37" t="str">
        <f>'Приложение 2'!A273</f>
        <v>Ведомственная целевая программа "Развитие культуры и искусства в Алексеевском муниципальном районе на 2022-2024 годы"</v>
      </c>
      <c r="B272" s="64" t="str">
        <f>'Приложение 2'!C273</f>
        <v>0800</v>
      </c>
      <c r="C272" s="64" t="str">
        <f>'Приложение 2'!D273</f>
        <v>59</v>
      </c>
      <c r="D272" s="64">
        <f>'Приложение 2'!E273</f>
        <v>0</v>
      </c>
      <c r="E272" s="64"/>
      <c r="F272" s="50">
        <f>'Приложение 2'!G273</f>
        <v>12300</v>
      </c>
      <c r="G272" s="50">
        <f>'Приложение 2'!H273</f>
        <v>9713.77204</v>
      </c>
      <c r="H272" s="50">
        <f t="shared" si="4"/>
        <v>78.97375642276423</v>
      </c>
    </row>
    <row r="273" spans="1:8" ht="16.5" customHeight="1" outlineLevel="3">
      <c r="A273" s="37" t="str">
        <f>'Приложение 2'!A274</f>
        <v>Дворцы и дома культуры, другие учреждения культуры</v>
      </c>
      <c r="B273" s="64" t="str">
        <f>'Приложение 2'!C274</f>
        <v>0801</v>
      </c>
      <c r="C273" s="64" t="str">
        <f>'Приложение 2'!D274</f>
        <v>59</v>
      </c>
      <c r="D273" s="64">
        <f>'Приложение 2'!E274</f>
        <v>0</v>
      </c>
      <c r="E273" s="64"/>
      <c r="F273" s="50">
        <f>'Приложение 2'!G274</f>
        <v>8656.7</v>
      </c>
      <c r="G273" s="50">
        <f>'Приложение 2'!H274</f>
        <v>7362.52966</v>
      </c>
      <c r="H273" s="50">
        <f t="shared" si="4"/>
        <v>85.05007289151754</v>
      </c>
    </row>
    <row r="274" spans="1:8" ht="24" customHeight="1" outlineLevel="3">
      <c r="A274" s="37" t="str">
        <f>'Приложение 2'!A275</f>
        <v>Предоставление субсидий бюджетным, автономным учреждениям и иным некоммерческим организациям</v>
      </c>
      <c r="B274" s="64" t="str">
        <f>'Приложение 2'!C275</f>
        <v>0801</v>
      </c>
      <c r="C274" s="64" t="str">
        <f>'Приложение 2'!D275</f>
        <v>59</v>
      </c>
      <c r="D274" s="64">
        <f>'Приложение 2'!E275</f>
        <v>0</v>
      </c>
      <c r="E274" s="64">
        <f>'Приложение 2'!F275</f>
        <v>600</v>
      </c>
      <c r="F274" s="50">
        <f>'Приложение 2'!G275</f>
        <v>8656.7</v>
      </c>
      <c r="G274" s="50">
        <f>'Приложение 2'!H275</f>
        <v>7362.52966</v>
      </c>
      <c r="H274" s="50">
        <f t="shared" si="4"/>
        <v>85.05007289151754</v>
      </c>
    </row>
    <row r="275" spans="1:8" ht="14.25" customHeight="1" outlineLevel="3">
      <c r="A275" s="37" t="str">
        <f>'Приложение 2'!A276</f>
        <v>Музей</v>
      </c>
      <c r="B275" s="64" t="str">
        <f>'Приложение 2'!C276</f>
        <v>0801</v>
      </c>
      <c r="C275" s="64" t="str">
        <f>'Приложение 2'!D276</f>
        <v>59</v>
      </c>
      <c r="D275" s="64">
        <f>'Приложение 2'!E276</f>
        <v>0</v>
      </c>
      <c r="E275" s="64"/>
      <c r="F275" s="50">
        <f>'Приложение 2'!G276</f>
        <v>1693</v>
      </c>
      <c r="G275" s="50">
        <f>'Приложение 2'!H276</f>
        <v>1109.96983</v>
      </c>
      <c r="H275" s="50">
        <f t="shared" si="4"/>
        <v>65.56230537507383</v>
      </c>
    </row>
    <row r="276" spans="1:8" ht="31.5" customHeight="1" outlineLevel="3">
      <c r="A276" s="37" t="str">
        <f>'Приложение 2'!A277</f>
        <v>Предоставление субсидий бюджетным, автономным учреждениям и иным некоммерческим организациям</v>
      </c>
      <c r="B276" s="64" t="str">
        <f>'Приложение 2'!C277</f>
        <v>0801</v>
      </c>
      <c r="C276" s="64" t="str">
        <f>'Приложение 2'!D277</f>
        <v>59</v>
      </c>
      <c r="D276" s="64">
        <f>'Приложение 2'!E277</f>
        <v>0</v>
      </c>
      <c r="E276" s="64">
        <f>'Приложение 2'!F277</f>
        <v>600</v>
      </c>
      <c r="F276" s="50">
        <f>'Приложение 2'!G277</f>
        <v>1693</v>
      </c>
      <c r="G276" s="50">
        <f>'Приложение 2'!H277</f>
        <v>1109.96983</v>
      </c>
      <c r="H276" s="50">
        <f t="shared" si="4"/>
        <v>65.56230537507383</v>
      </c>
    </row>
    <row r="277" spans="1:8" ht="16.5" customHeight="1" outlineLevel="3">
      <c r="A277" s="37" t="str">
        <f>'Приложение 2'!A278</f>
        <v>Библиотеки</v>
      </c>
      <c r="B277" s="64" t="str">
        <f>'Приложение 2'!C278</f>
        <v>0801</v>
      </c>
      <c r="C277" s="64" t="str">
        <f>'Приложение 2'!D278</f>
        <v>59</v>
      </c>
      <c r="D277" s="64">
        <f>'Приложение 2'!E278</f>
        <v>0</v>
      </c>
      <c r="E277" s="64"/>
      <c r="F277" s="50">
        <f>'Приложение 2'!G278</f>
        <v>1457</v>
      </c>
      <c r="G277" s="50">
        <f>'Приложение 2'!H278</f>
        <v>893.79149</v>
      </c>
      <c r="H277" s="50">
        <f t="shared" si="4"/>
        <v>61.344645847632115</v>
      </c>
    </row>
    <row r="278" spans="1:8" ht="27" customHeight="1" outlineLevel="1">
      <c r="A278" s="37" t="str">
        <f>'Приложение 2'!A279</f>
        <v>Предоставление субсидий бюджетным, автономным учреждениям и иным некоммерческим организациям</v>
      </c>
      <c r="B278" s="64" t="str">
        <f>'Приложение 2'!C279</f>
        <v>0801</v>
      </c>
      <c r="C278" s="64" t="str">
        <f>'Приложение 2'!D279</f>
        <v>59</v>
      </c>
      <c r="D278" s="64">
        <f>'Приложение 2'!E279</f>
        <v>0</v>
      </c>
      <c r="E278" s="64">
        <f>'Приложение 2'!F279</f>
        <v>600</v>
      </c>
      <c r="F278" s="50">
        <f>'Приложение 2'!G279</f>
        <v>1457</v>
      </c>
      <c r="G278" s="50">
        <f>'Приложение 2'!H279</f>
        <v>893.79149</v>
      </c>
      <c r="H278" s="50">
        <f t="shared" si="4"/>
        <v>61.344645847632115</v>
      </c>
    </row>
    <row r="279" spans="1:8" ht="12" customHeight="1" outlineLevel="3">
      <c r="A279" s="37" t="str">
        <f>'Приложение 2'!A280</f>
        <v>Кинематография</v>
      </c>
      <c r="B279" s="64" t="str">
        <f>'Приложение 2'!C280</f>
        <v>0802</v>
      </c>
      <c r="C279" s="64" t="str">
        <f>'Приложение 2'!D280</f>
        <v>59</v>
      </c>
      <c r="D279" s="64">
        <f>'Приложение 2'!E280</f>
        <v>0</v>
      </c>
      <c r="E279" s="64"/>
      <c r="F279" s="50">
        <f>'Приложение 2'!G280</f>
        <v>493.3</v>
      </c>
      <c r="G279" s="50">
        <f>'Приложение 2'!H280</f>
        <v>347.48106</v>
      </c>
      <c r="H279" s="50">
        <f t="shared" si="4"/>
        <v>70.44010946685587</v>
      </c>
    </row>
    <row r="280" spans="1:8" ht="26.25" customHeight="1" outlineLevel="3">
      <c r="A280" s="37" t="str">
        <f>'Приложение 2'!A281</f>
        <v>Предоставление субсидий бюджетным, автономным учреждениям и иным некоммерческим организациям</v>
      </c>
      <c r="B280" s="64" t="str">
        <f>'Приложение 2'!C281</f>
        <v>0802</v>
      </c>
      <c r="C280" s="64" t="str">
        <f>'Приложение 2'!D281</f>
        <v>59</v>
      </c>
      <c r="D280" s="64">
        <f>'Приложение 2'!E281</f>
        <v>0</v>
      </c>
      <c r="E280" s="64">
        <f>'Приложение 2'!F281</f>
        <v>600</v>
      </c>
      <c r="F280" s="50">
        <f>'Приложение 2'!G281</f>
        <v>493.3</v>
      </c>
      <c r="G280" s="50">
        <f>'Приложение 2'!H281</f>
        <v>347.48106</v>
      </c>
      <c r="H280" s="50">
        <f t="shared" si="4"/>
        <v>70.44010946685587</v>
      </c>
    </row>
    <row r="281" spans="1:8" ht="12.75" hidden="1" outlineLevel="3">
      <c r="A281" s="37" t="str">
        <f>'Приложение 2'!A282</f>
        <v>Другие вопросы в области культуры, кинематографии </v>
      </c>
      <c r="B281" s="64" t="str">
        <f>'Приложение 2'!C282</f>
        <v>0804</v>
      </c>
      <c r="C281" s="64" t="str">
        <f>'Приложение 2'!D282</f>
        <v>59</v>
      </c>
      <c r="D281" s="64">
        <f>'Приложение 2'!E282</f>
        <v>0</v>
      </c>
      <c r="E281" s="64"/>
      <c r="F281" s="50">
        <f>'Приложение 2'!G282</f>
        <v>0</v>
      </c>
      <c r="G281" s="50">
        <f>'Приложение 2'!H282</f>
        <v>0</v>
      </c>
      <c r="H281" s="50" t="e">
        <f t="shared" si="4"/>
        <v>#DIV/0!</v>
      </c>
    </row>
    <row r="282" spans="1:8" ht="24" hidden="1" outlineLevel="3">
      <c r="A282" s="37" t="str">
        <f>'Приложение 2'!A283</f>
        <v>Предоставление субсидий бюджетным, автономным учреждениям и иным некоммерческим организациям</v>
      </c>
      <c r="B282" s="64" t="str">
        <f>'Приложение 2'!C283</f>
        <v>0804</v>
      </c>
      <c r="C282" s="64" t="str">
        <f>'Приложение 2'!D283</f>
        <v>59</v>
      </c>
      <c r="D282" s="64">
        <f>'Приложение 2'!E283</f>
        <v>0</v>
      </c>
      <c r="E282" s="64">
        <f>'Приложение 2'!F283</f>
        <v>600</v>
      </c>
      <c r="F282" s="50">
        <f>'Приложение 2'!G283</f>
        <v>0</v>
      </c>
      <c r="G282" s="50">
        <f>'Приложение 2'!H283</f>
        <v>0</v>
      </c>
      <c r="H282" s="50" t="e">
        <f t="shared" si="4"/>
        <v>#DIV/0!</v>
      </c>
    </row>
    <row r="283" spans="1:8" ht="40.5" customHeight="1" hidden="1" outlineLevel="3">
      <c r="A283" s="37" t="str">
        <f>'Приложение 2'!A284</f>
        <v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v>
      </c>
      <c r="B283" s="64" t="str">
        <f>'Приложение 2'!C284</f>
        <v>0804</v>
      </c>
      <c r="C283" s="64" t="str">
        <f>'Приложение 2'!D284</f>
        <v>10</v>
      </c>
      <c r="D283" s="64">
        <f>'Приложение 2'!E284</f>
        <v>0</v>
      </c>
      <c r="E283" s="64"/>
      <c r="F283" s="64">
        <f>'Приложение 2'!G284</f>
        <v>0</v>
      </c>
      <c r="G283" s="64">
        <f>'Приложение 2'!H284</f>
        <v>0</v>
      </c>
      <c r="H283" s="50" t="e">
        <f t="shared" si="4"/>
        <v>#DIV/0!</v>
      </c>
    </row>
    <row r="284" spans="1:8" ht="36" hidden="1" outlineLevel="3">
      <c r="A284" s="37" t="str">
        <f>'Приложение 2'!A285</f>
        <v>Межбюджетные трансферты за счет средств субсидии на благоустройство и ремонт памятников, обелисков и воинских захоронений</v>
      </c>
      <c r="B284" s="64" t="str">
        <f>'Приложение 2'!C285</f>
        <v>0804</v>
      </c>
      <c r="C284" s="64" t="str">
        <f>'Приложение 2'!D285</f>
        <v>10</v>
      </c>
      <c r="D284" s="64">
        <f>'Приложение 2'!E285</f>
        <v>0</v>
      </c>
      <c r="E284" s="64">
        <f>'Приложение 2'!F285</f>
        <v>500</v>
      </c>
      <c r="F284" s="64">
        <f>'Приложение 2'!G285</f>
        <v>0</v>
      </c>
      <c r="G284" s="64">
        <f>'Приложение 2'!H285</f>
        <v>0</v>
      </c>
      <c r="H284" s="50" t="e">
        <f t="shared" si="4"/>
        <v>#DIV/0!</v>
      </c>
    </row>
    <row r="285" spans="1:8" ht="12.75" hidden="1" outlineLevel="3">
      <c r="A285" s="37" t="str">
        <f>'Приложение 2'!A286</f>
        <v>Здравоохранение</v>
      </c>
      <c r="B285" s="64" t="str">
        <f>'Приложение 2'!C286</f>
        <v>0900</v>
      </c>
      <c r="C285" s="64"/>
      <c r="D285" s="64"/>
      <c r="E285" s="64"/>
      <c r="F285" s="50">
        <f>'Приложение 2'!G286</f>
        <v>0</v>
      </c>
      <c r="G285" s="50">
        <f>'Приложение 2'!H286</f>
        <v>0</v>
      </c>
      <c r="H285" s="50" t="e">
        <f t="shared" si="4"/>
        <v>#DIV/0!</v>
      </c>
    </row>
    <row r="286" spans="1:8" ht="12.75" hidden="1" outlineLevel="3">
      <c r="A286" s="37" t="str">
        <f>'Приложение 2'!A287</f>
        <v>Амбулаторная помощь</v>
      </c>
      <c r="B286" s="64" t="str">
        <f>'Приложение 2'!C287</f>
        <v>0902</v>
      </c>
      <c r="C286" s="64"/>
      <c r="D286" s="64"/>
      <c r="E286" s="64"/>
      <c r="F286" s="50">
        <f>'Приложение 2'!G287</f>
        <v>0</v>
      </c>
      <c r="G286" s="50">
        <f>'Приложение 2'!H287</f>
        <v>0</v>
      </c>
      <c r="H286" s="50" t="e">
        <f t="shared" si="4"/>
        <v>#DIV/0!</v>
      </c>
    </row>
    <row r="287" spans="1:8" ht="36" hidden="1" outlineLevel="3">
      <c r="A287" s="37" t="str">
        <f>'Приложение 2'!A288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87" s="64" t="str">
        <f>'Приложение 2'!C288</f>
        <v>0902</v>
      </c>
      <c r="C287" s="64" t="str">
        <f>'Приложение 2'!D288</f>
        <v>02</v>
      </c>
      <c r="D287" s="64">
        <f>'Приложение 2'!E288</f>
        <v>0</v>
      </c>
      <c r="E287" s="64"/>
      <c r="F287" s="50">
        <f>'Приложение 2'!G288</f>
        <v>0</v>
      </c>
      <c r="G287" s="50">
        <f>'Приложение 2'!H288</f>
        <v>0</v>
      </c>
      <c r="H287" s="50" t="e">
        <f t="shared" si="4"/>
        <v>#DIV/0!</v>
      </c>
    </row>
    <row r="288" spans="1:8" ht="36" hidden="1">
      <c r="A288" s="37" t="str">
        <f>'Приложение 2'!A289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288" s="64" t="str">
        <f>'Приложение 2'!C289</f>
        <v>0902</v>
      </c>
      <c r="C288" s="64" t="str">
        <f>'Приложение 2'!D289</f>
        <v>02</v>
      </c>
      <c r="D288" s="64">
        <f>'Приложение 2'!E289</f>
        <v>3</v>
      </c>
      <c r="E288" s="64"/>
      <c r="F288" s="50">
        <f>'Приложение 2'!G289</f>
        <v>0</v>
      </c>
      <c r="G288" s="50">
        <f>'Приложение 2'!H289</f>
        <v>0</v>
      </c>
      <c r="H288" s="50" t="e">
        <f t="shared" si="4"/>
        <v>#DIV/0!</v>
      </c>
    </row>
    <row r="289" spans="1:8" s="12" customFormat="1" ht="24" hidden="1" outlineLevel="2">
      <c r="A289" s="37" t="str">
        <f>'Приложение 2'!A290</f>
        <v>Капитальные вложения в объекты государственной (муниципальной) собственности</v>
      </c>
      <c r="B289" s="64" t="str">
        <f>'Приложение 2'!C290</f>
        <v>0902</v>
      </c>
      <c r="C289" s="64" t="str">
        <f>'Приложение 2'!D290</f>
        <v>02</v>
      </c>
      <c r="D289" s="64">
        <f>'Приложение 2'!E290</f>
        <v>3</v>
      </c>
      <c r="E289" s="64">
        <f>'Приложение 2'!F290</f>
        <v>400</v>
      </c>
      <c r="F289" s="50">
        <f>'Приложение 2'!G290</f>
        <v>0</v>
      </c>
      <c r="G289" s="50">
        <f>'Приложение 2'!H290</f>
        <v>0</v>
      </c>
      <c r="H289" s="50" t="e">
        <f t="shared" si="4"/>
        <v>#DIV/0!</v>
      </c>
    </row>
    <row r="290" spans="1:8" s="12" customFormat="1" ht="15" customHeight="1" outlineLevel="2">
      <c r="A290" s="37" t="str">
        <f>'Приложение 2'!A291</f>
        <v>Социальная политика</v>
      </c>
      <c r="B290" s="64" t="str">
        <f>'Приложение 2'!C291</f>
        <v>1000</v>
      </c>
      <c r="C290" s="64"/>
      <c r="D290" s="64"/>
      <c r="E290" s="64"/>
      <c r="F290" s="50">
        <f>'Приложение 2'!G291</f>
        <v>27129.86401</v>
      </c>
      <c r="G290" s="50">
        <f>'Приложение 2'!H291</f>
        <v>18054.51814</v>
      </c>
      <c r="H290" s="50">
        <f t="shared" si="4"/>
        <v>66.54850217216404</v>
      </c>
    </row>
    <row r="291" spans="1:8" s="12" customFormat="1" ht="15.75" customHeight="1" outlineLevel="2">
      <c r="A291" s="37" t="str">
        <f>'Приложение 2'!A292</f>
        <v>Доплаты к пенсии государственных служащих субъектов Российской Федерации и муниципальных служащих</v>
      </c>
      <c r="B291" s="64" t="str">
        <f>'Приложение 2'!C292</f>
        <v>1001</v>
      </c>
      <c r="C291" s="64"/>
      <c r="D291" s="64"/>
      <c r="E291" s="64"/>
      <c r="F291" s="50">
        <f>'Приложение 2'!G292</f>
        <v>4000</v>
      </c>
      <c r="G291" s="50">
        <f>'Приложение 2'!H292</f>
        <v>3060.89777</v>
      </c>
      <c r="H291" s="50">
        <f t="shared" si="4"/>
        <v>76.52244424999999</v>
      </c>
    </row>
    <row r="292" spans="1:8" ht="15" customHeight="1" outlineLevel="3">
      <c r="A292" s="37" t="str">
        <f>'Приложение 2'!A293</f>
        <v>Непрограммные расходы органов местного самоуправления Алексеевского муниципального района</v>
      </c>
      <c r="B292" s="64" t="str">
        <f>'Приложение 2'!C293</f>
        <v>1001</v>
      </c>
      <c r="C292" s="64" t="str">
        <f>'Приложение 2'!D293</f>
        <v>99</v>
      </c>
      <c r="D292" s="64">
        <f>'Приложение 2'!E293</f>
        <v>0</v>
      </c>
      <c r="E292" s="64"/>
      <c r="F292" s="50">
        <f>'Приложение 2'!G293</f>
        <v>4000</v>
      </c>
      <c r="G292" s="50">
        <f>'Приложение 2'!H293</f>
        <v>3060.89777</v>
      </c>
      <c r="H292" s="50">
        <f t="shared" si="4"/>
        <v>76.52244424999999</v>
      </c>
    </row>
    <row r="293" spans="1:8" s="12" customFormat="1" ht="12.75" outlineLevel="2">
      <c r="A293" s="37" t="str">
        <f>'Приложение 2'!A294</f>
        <v>Социальное обеспечение и иные выплаты населению</v>
      </c>
      <c r="B293" s="64" t="str">
        <f>'Приложение 2'!C294</f>
        <v>1001</v>
      </c>
      <c r="C293" s="64" t="str">
        <f>'Приложение 2'!D294</f>
        <v>99</v>
      </c>
      <c r="D293" s="64">
        <f>'Приложение 2'!E294</f>
        <v>0</v>
      </c>
      <c r="E293" s="64">
        <f>'Приложение 2'!F294</f>
        <v>300</v>
      </c>
      <c r="F293" s="50">
        <f>'Приложение 2'!G294</f>
        <v>4000</v>
      </c>
      <c r="G293" s="50">
        <f>'Приложение 2'!H294</f>
        <v>3060.89777</v>
      </c>
      <c r="H293" s="50">
        <f t="shared" si="4"/>
        <v>76.52244424999999</v>
      </c>
    </row>
    <row r="294" spans="1:8" s="12" customFormat="1" ht="14.25" customHeight="1" outlineLevel="2">
      <c r="A294" s="37" t="str">
        <f>'Приложение 2'!A295</f>
        <v>Социальное обеспечение населения</v>
      </c>
      <c r="B294" s="64" t="str">
        <f>'Приложение 2'!C295</f>
        <v>1003</v>
      </c>
      <c r="C294" s="64"/>
      <c r="D294" s="64"/>
      <c r="E294" s="64"/>
      <c r="F294" s="50">
        <f>'Приложение 2'!G295</f>
        <v>14192.322</v>
      </c>
      <c r="G294" s="50">
        <f>'Приложение 2'!H295</f>
        <v>9078.325499999999</v>
      </c>
      <c r="H294" s="50">
        <f t="shared" si="4"/>
        <v>63.96645665170223</v>
      </c>
    </row>
    <row r="295" spans="1:8" s="12" customFormat="1" ht="75.75" customHeight="1" outlineLevel="2">
      <c r="A295" s="37" t="str">
        <f>'Приложение 2'!A296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295" s="64" t="str">
        <f>'Приложение 2'!C296</f>
        <v>1003</v>
      </c>
      <c r="C295" s="64" t="str">
        <f>'Приложение 2'!D296</f>
        <v>14</v>
      </c>
      <c r="D295" s="64">
        <f>'Приложение 2'!E296</f>
        <v>0</v>
      </c>
      <c r="E295" s="64"/>
      <c r="F295" s="50">
        <f>'Приложение 2'!G296</f>
        <v>800</v>
      </c>
      <c r="G295" s="50">
        <f>'Приложение 2'!H296</f>
        <v>352.407</v>
      </c>
      <c r="H295" s="50">
        <f t="shared" si="4"/>
        <v>44.050875</v>
      </c>
    </row>
    <row r="296" spans="1:8" ht="12.75" outlineLevel="3">
      <c r="A296" s="37" t="str">
        <f>'Приложение 2'!A297</f>
        <v>Социальное обеспечение и иные выплаты населению</v>
      </c>
      <c r="B296" s="64" t="str">
        <f>'Приложение 2'!C297</f>
        <v>1003</v>
      </c>
      <c r="C296" s="64" t="str">
        <f>'Приложение 2'!D297</f>
        <v>14</v>
      </c>
      <c r="D296" s="64">
        <f>'Приложение 2'!E297</f>
        <v>0</v>
      </c>
      <c r="E296" s="64">
        <f>'Приложение 2'!F297</f>
        <v>300</v>
      </c>
      <c r="F296" s="50">
        <f>'Приложение 2'!G297</f>
        <v>800</v>
      </c>
      <c r="G296" s="50">
        <f>'Приложение 2'!H297</f>
        <v>352.407</v>
      </c>
      <c r="H296" s="50">
        <f t="shared" si="4"/>
        <v>44.050875</v>
      </c>
    </row>
    <row r="297" spans="1:8" ht="13.5" customHeight="1" outlineLevel="1">
      <c r="A297" s="37" t="str">
        <f>'Приложение 2'!A298</f>
        <v>Непрограммные расходы органов местного самоуправления Алексеевского муниципального района</v>
      </c>
      <c r="B297" s="64" t="str">
        <f>'Приложение 2'!C298</f>
        <v>1003</v>
      </c>
      <c r="C297" s="64" t="str">
        <f>'Приложение 2'!D298</f>
        <v>99</v>
      </c>
      <c r="D297" s="64">
        <f>'Приложение 2'!E298</f>
        <v>0</v>
      </c>
      <c r="E297" s="64"/>
      <c r="F297" s="50">
        <f>'Приложение 2'!G298</f>
        <v>13392.322</v>
      </c>
      <c r="G297" s="50">
        <f>'Приложение 2'!H298</f>
        <v>8725.9185</v>
      </c>
      <c r="H297" s="50">
        <f t="shared" si="4"/>
        <v>65.15612826513579</v>
      </c>
    </row>
    <row r="298" spans="1:8" ht="14.25" customHeight="1" hidden="1" outlineLevel="1">
      <c r="A298" s="37" t="str">
        <f>'Приложение 2'!A299</f>
        <v>Резервный фонд Администрации Волгоградской области</v>
      </c>
      <c r="B298" s="64" t="str">
        <f>'Приложение 2'!C299</f>
        <v>1003</v>
      </c>
      <c r="C298" s="64" t="str">
        <f>'Приложение 2'!D299</f>
        <v>99</v>
      </c>
      <c r="D298" s="64">
        <f>'Приложение 2'!E299</f>
        <v>0</v>
      </c>
      <c r="E298" s="64"/>
      <c r="F298" s="50">
        <f>'Приложение 2'!G299</f>
        <v>0</v>
      </c>
      <c r="G298" s="50">
        <f>'Приложение 2'!H299</f>
        <v>0</v>
      </c>
      <c r="H298" s="50" t="e">
        <f t="shared" si="4"/>
        <v>#DIV/0!</v>
      </c>
    </row>
    <row r="299" spans="1:8" ht="11.25" customHeight="1" hidden="1" outlineLevel="1">
      <c r="A299" s="37" t="str">
        <f>'Приложение 2'!A300</f>
        <v>Социальное обеспечение и иные выплаты населению</v>
      </c>
      <c r="B299" s="64" t="str">
        <f>'Приложение 2'!C300</f>
        <v>1003</v>
      </c>
      <c r="C299" s="64" t="str">
        <f>'Приложение 2'!D300</f>
        <v>99</v>
      </c>
      <c r="D299" s="64">
        <f>'Приложение 2'!E300</f>
        <v>0</v>
      </c>
      <c r="E299" s="64">
        <f>'Приложение 2'!F300</f>
        <v>300</v>
      </c>
      <c r="F299" s="50">
        <f>'Приложение 2'!G300</f>
        <v>0</v>
      </c>
      <c r="G299" s="50">
        <f>'Приложение 2'!H300</f>
        <v>0</v>
      </c>
      <c r="H299" s="50" t="e">
        <f t="shared" si="4"/>
        <v>#DIV/0!</v>
      </c>
    </row>
    <row r="300" spans="1:8" ht="0.75" customHeight="1" hidden="1" outlineLevel="1">
      <c r="A300" s="37" t="str">
        <f>'Приложение 2'!A301</f>
        <v>Закупка товаров, работ и услуг для государственных (муниципальных) нужд</v>
      </c>
      <c r="B300" s="64" t="str">
        <f>'Приложение 2'!C301</f>
        <v>1003</v>
      </c>
      <c r="C300" s="64" t="str">
        <f>'Приложение 2'!D301</f>
        <v>99</v>
      </c>
      <c r="D300" s="64">
        <f>'Приложение 2'!E301</f>
        <v>0</v>
      </c>
      <c r="E300" s="64">
        <f>'Приложение 2'!F301</f>
        <v>200</v>
      </c>
      <c r="F300" s="50">
        <f>'Приложение 2'!G301</f>
        <v>0</v>
      </c>
      <c r="G300" s="50">
        <f>'Приложение 2'!H301</f>
        <v>0</v>
      </c>
      <c r="H300" s="50" t="e">
        <f t="shared" si="4"/>
        <v>#DIV/0!</v>
      </c>
    </row>
    <row r="301" spans="1:8" ht="72.75" customHeight="1" outlineLevel="1">
      <c r="A301" s="37" t="str">
        <f>'Приложение 2'!A302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301" s="64" t="str">
        <f>'Приложение 2'!C302</f>
        <v>1003</v>
      </c>
      <c r="C301" s="64" t="str">
        <f>'Приложение 2'!D302</f>
        <v>99</v>
      </c>
      <c r="D301" s="64">
        <f>'Приложение 2'!E302</f>
        <v>0</v>
      </c>
      <c r="E301" s="64"/>
      <c r="F301" s="50">
        <f>'Приложение 2'!G302</f>
        <v>8876.022</v>
      </c>
      <c r="G301" s="50">
        <f>'Приложение 2'!H302</f>
        <v>6598.747359999999</v>
      </c>
      <c r="H301" s="50">
        <f t="shared" si="4"/>
        <v>74.34352190654776</v>
      </c>
    </row>
    <row r="302" spans="1:8" ht="16.5" customHeight="1" outlineLevel="2">
      <c r="A302" s="37" t="str">
        <f>'Приложение 2'!A303</f>
        <v>Социальное обеспечение и иные выплаты населению</v>
      </c>
      <c r="B302" s="64" t="str">
        <f>'Приложение 2'!C303</f>
        <v>1003</v>
      </c>
      <c r="C302" s="64" t="str">
        <f>'Приложение 2'!D303</f>
        <v>99</v>
      </c>
      <c r="D302" s="64">
        <f>'Приложение 2'!E303</f>
        <v>0</v>
      </c>
      <c r="E302" s="64">
        <f>'Приложение 2'!F303</f>
        <v>300</v>
      </c>
      <c r="F302" s="50">
        <f>'Приложение 2'!G303</f>
        <v>8788.1406</v>
      </c>
      <c r="G302" s="50">
        <f>'Приложение 2'!H303</f>
        <v>6533.70127</v>
      </c>
      <c r="H302" s="50">
        <f t="shared" si="4"/>
        <v>74.3467994811098</v>
      </c>
    </row>
    <row r="303" spans="1:8" ht="24.75" customHeight="1" outlineLevel="3">
      <c r="A303" s="37" t="str">
        <f>'Приложение 2'!A304</f>
        <v>Закупка товаров, работ и услуг для государственных (муниципальных) нужд</v>
      </c>
      <c r="B303" s="64" t="str">
        <f>'Приложение 2'!C304</f>
        <v>1003</v>
      </c>
      <c r="C303" s="64" t="str">
        <f>'Приложение 2'!D304</f>
        <v>99</v>
      </c>
      <c r="D303" s="64">
        <f>'Приложение 2'!E304</f>
        <v>0</v>
      </c>
      <c r="E303" s="64">
        <f>'Приложение 2'!F304</f>
        <v>200</v>
      </c>
      <c r="F303" s="50">
        <f>'Приложение 2'!G304</f>
        <v>87.8814</v>
      </c>
      <c r="G303" s="50">
        <f>'Приложение 2'!H304</f>
        <v>65.04609</v>
      </c>
      <c r="H303" s="50">
        <f t="shared" si="4"/>
        <v>74.0157644279677</v>
      </c>
    </row>
    <row r="304" spans="1:8" ht="73.5" customHeight="1">
      <c r="A304" s="37" t="str">
        <f>'Приложение 2'!A305</f>
        <v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v>
      </c>
      <c r="B304" s="64" t="str">
        <f>'Приложение 2'!C305</f>
        <v>1003</v>
      </c>
      <c r="C304" s="64" t="str">
        <f>'Приложение 2'!D305</f>
        <v>99</v>
      </c>
      <c r="D304" s="64">
        <f>'Приложение 2'!E305</f>
        <v>0</v>
      </c>
      <c r="E304" s="64">
        <f>'Приложение 2'!F305</f>
        <v>300</v>
      </c>
      <c r="F304" s="50">
        <f>'Приложение 2'!G305</f>
        <v>973.5</v>
      </c>
      <c r="G304" s="50">
        <f>'Приложение 2'!H305</f>
        <v>408.33595</v>
      </c>
      <c r="H304" s="50">
        <f t="shared" si="4"/>
        <v>41.94514124293786</v>
      </c>
    </row>
    <row r="305" spans="1:8" ht="72" outlineLevel="1">
      <c r="A305" s="37" t="str">
        <f>'Приложение 2'!A306</f>
        <v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v>
      </c>
      <c r="B305" s="64" t="str">
        <f>'Приложение 2'!C306</f>
        <v>1003</v>
      </c>
      <c r="C305" s="64" t="str">
        <f>'Приложение 2'!D306</f>
        <v>99</v>
      </c>
      <c r="D305" s="64">
        <f>'Приложение 2'!E306</f>
        <v>0</v>
      </c>
      <c r="E305" s="64">
        <f>'Приложение 2'!F306</f>
        <v>300</v>
      </c>
      <c r="F305" s="50">
        <f>'Приложение 2'!G306</f>
        <v>58</v>
      </c>
      <c r="G305" s="50">
        <f>'Приложение 2'!H306</f>
        <v>13.31632</v>
      </c>
      <c r="H305" s="50">
        <f t="shared" si="4"/>
        <v>22.9591724137931</v>
      </c>
    </row>
    <row r="306" spans="1:8" ht="90" customHeight="1" outlineLevel="1">
      <c r="A306" s="37" t="str">
        <f>'Приложение 2'!A307</f>
        <v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v>
      </c>
      <c r="B306" s="64" t="str">
        <f>'Приложение 2'!C307</f>
        <v>1003</v>
      </c>
      <c r="C306" s="64" t="str">
        <f>'Приложение 2'!D307</f>
        <v>99</v>
      </c>
      <c r="D306" s="64">
        <f>'Приложение 2'!E307</f>
        <v>0</v>
      </c>
      <c r="E306" s="64">
        <f>'Приложение 2'!F307</f>
        <v>300</v>
      </c>
      <c r="F306" s="50">
        <f>'Приложение 2'!G307</f>
        <v>3484.8</v>
      </c>
      <c r="G306" s="50">
        <f>'Приложение 2'!H307</f>
        <v>1705.51887</v>
      </c>
      <c r="H306" s="50">
        <f t="shared" si="4"/>
        <v>48.94165719696969</v>
      </c>
    </row>
    <row r="307" spans="1:8" ht="12.75" outlineLevel="1">
      <c r="A307" s="37" t="str">
        <f>'Приложение 2'!A308</f>
        <v>Охрана семьи и детства</v>
      </c>
      <c r="B307" s="64" t="str">
        <f>'Приложение 2'!C308</f>
        <v>1004</v>
      </c>
      <c r="C307" s="64"/>
      <c r="D307" s="64"/>
      <c r="E307" s="64"/>
      <c r="F307" s="50">
        <f>'Приложение 2'!G308</f>
        <v>7964.66401</v>
      </c>
      <c r="G307" s="50">
        <f>'Приложение 2'!H308</f>
        <v>5178.8454</v>
      </c>
      <c r="H307" s="50">
        <f t="shared" si="4"/>
        <v>65.02277300709387</v>
      </c>
    </row>
    <row r="308" spans="1:8" ht="27" customHeight="1" hidden="1" outlineLevel="1">
      <c r="A308" s="37" t="str">
        <f>'Приложение 2'!A309</f>
        <v>Муниципальная программа "Молодой семье – доступное жилье на территории Алексеевского муниципального района на 2019-2020 годы"</v>
      </c>
      <c r="B308" s="64" t="str">
        <f>'Приложение 2'!C309</f>
        <v>1004</v>
      </c>
      <c r="C308" s="64" t="str">
        <f>'Приложение 2'!D309</f>
        <v>11</v>
      </c>
      <c r="D308" s="64">
        <f>'Приложение 2'!E309</f>
        <v>0</v>
      </c>
      <c r="E308" s="64"/>
      <c r="F308" s="50">
        <f>'Приложение 2'!G309</f>
        <v>0</v>
      </c>
      <c r="G308" s="50">
        <f>'Приложение 2'!H309</f>
        <v>0</v>
      </c>
      <c r="H308" s="50" t="e">
        <f t="shared" si="4"/>
        <v>#DIV/0!</v>
      </c>
    </row>
    <row r="309" spans="1:8" ht="21.75" customHeight="1" hidden="1" outlineLevel="5">
      <c r="A309" s="37" t="str">
        <f>'Приложение 2'!A310</f>
        <v>Социальное обеспечение и иные выплаты населению</v>
      </c>
      <c r="B309" s="64" t="str">
        <f>'Приложение 2'!C310</f>
        <v>1004</v>
      </c>
      <c r="C309" s="64" t="str">
        <f>'Приложение 2'!D310</f>
        <v>11</v>
      </c>
      <c r="D309" s="64">
        <f>'Приложение 2'!E310</f>
        <v>0</v>
      </c>
      <c r="E309" s="64">
        <f>'Приложение 2'!F310</f>
        <v>300</v>
      </c>
      <c r="F309" s="50">
        <f>'Приложение 2'!G310</f>
        <v>0</v>
      </c>
      <c r="G309" s="50">
        <f>'Приложение 2'!H310</f>
        <v>0</v>
      </c>
      <c r="H309" s="50" t="e">
        <f t="shared" si="4"/>
        <v>#DIV/0!</v>
      </c>
    </row>
    <row r="310" spans="1:8" ht="16.5" customHeight="1" outlineLevel="5">
      <c r="A310" s="37" t="str">
        <f>'Приложение 2'!A311</f>
        <v>Непрограммные расходы органов местного самоуправления Алексеевского муниципального района</v>
      </c>
      <c r="B310" s="64" t="str">
        <f>'Приложение 2'!C311</f>
        <v>1004</v>
      </c>
      <c r="C310" s="64" t="str">
        <f>'Приложение 2'!D311</f>
        <v>99</v>
      </c>
      <c r="D310" s="64">
        <f>'Приложение 2'!E311</f>
        <v>0</v>
      </c>
      <c r="E310" s="64"/>
      <c r="F310" s="50">
        <f>'Приложение 2'!G311</f>
        <v>7964.66401</v>
      </c>
      <c r="G310" s="50">
        <f>'Приложение 2'!H311</f>
        <v>5178.8454</v>
      </c>
      <c r="H310" s="50">
        <f t="shared" si="4"/>
        <v>65.02277300709387</v>
      </c>
    </row>
    <row r="311" spans="1:8" ht="27" customHeight="1" outlineLevel="2">
      <c r="A311" s="37" t="str">
        <f>'Приложение 2'!A312</f>
        <v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v>
      </c>
      <c r="B311" s="64" t="str">
        <f>'Приложение 2'!C312</f>
        <v>1004</v>
      </c>
      <c r="C311" s="64" t="str">
        <f>'Приложение 2'!D312</f>
        <v>99</v>
      </c>
      <c r="D311" s="64">
        <f>'Приложение 2'!E312</f>
        <v>0</v>
      </c>
      <c r="E311" s="64"/>
      <c r="F311" s="50">
        <f>'Приложение 2'!G312</f>
        <v>864.8000000000001</v>
      </c>
      <c r="G311" s="50">
        <f>'Приложение 2'!H312</f>
        <v>82.2454</v>
      </c>
      <c r="H311" s="50">
        <f t="shared" si="4"/>
        <v>9.510337650323773</v>
      </c>
    </row>
    <row r="312" spans="1:8" ht="14.25" customHeight="1" outlineLevel="3">
      <c r="A312" s="37" t="str">
        <f>'Приложение 2'!A313</f>
        <v>Социальное обеспечение и иные выплаты населению</v>
      </c>
      <c r="B312" s="64" t="str">
        <f>'Приложение 2'!C313</f>
        <v>1004</v>
      </c>
      <c r="C312" s="64" t="str">
        <f>'Приложение 2'!D313</f>
        <v>99</v>
      </c>
      <c r="D312" s="64">
        <f>'Приложение 2'!E313</f>
        <v>0</v>
      </c>
      <c r="E312" s="64">
        <f>'Приложение 2'!F313</f>
        <v>300</v>
      </c>
      <c r="F312" s="50">
        <f>'Приложение 2'!G313</f>
        <v>856.2377</v>
      </c>
      <c r="G312" s="50">
        <f>'Приложение 2'!H313</f>
        <v>81.43109</v>
      </c>
      <c r="H312" s="50">
        <f t="shared" si="4"/>
        <v>9.510336907613388</v>
      </c>
    </row>
    <row r="313" spans="1:8" ht="24" outlineLevel="2">
      <c r="A313" s="37" t="str">
        <f>'Приложение 2'!A314</f>
        <v>Закупка товаров, работ и услуг для государственных (муниципальных) нужд</v>
      </c>
      <c r="B313" s="64" t="str">
        <f>'Приложение 2'!C314</f>
        <v>1004</v>
      </c>
      <c r="C313" s="64" t="str">
        <f>'Приложение 2'!D314</f>
        <v>99</v>
      </c>
      <c r="D313" s="64">
        <f>'Приложение 2'!E314</f>
        <v>0</v>
      </c>
      <c r="E313" s="64">
        <f>'Приложение 2'!F314</f>
        <v>200</v>
      </c>
      <c r="F313" s="50">
        <f>'Приложение 2'!G314</f>
        <v>8.5623</v>
      </c>
      <c r="G313" s="50">
        <f>'Приложение 2'!H314</f>
        <v>0.81431</v>
      </c>
      <c r="H313" s="50">
        <f t="shared" si="4"/>
        <v>9.510411922030295</v>
      </c>
    </row>
    <row r="314" spans="1:8" ht="75.75" customHeight="1" outlineLevel="3">
      <c r="A314" s="37" t="str">
        <f>'Приложение 2'!A315</f>
        <v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v>
      </c>
      <c r="B314" s="64" t="str">
        <f>'Приложение 2'!C315</f>
        <v>1004</v>
      </c>
      <c r="C314" s="64" t="str">
        <f>'Приложение 2'!D315</f>
        <v>99</v>
      </c>
      <c r="D314" s="64">
        <f>'Приложение 2'!E315</f>
        <v>0</v>
      </c>
      <c r="E314" s="64"/>
      <c r="F314" s="50">
        <f>'Приложение 2'!G315</f>
        <v>6800.6</v>
      </c>
      <c r="G314" s="50">
        <f>'Приложение 2'!H315</f>
        <v>5096.6</v>
      </c>
      <c r="H314" s="50">
        <f t="shared" si="4"/>
        <v>74.94338734817516</v>
      </c>
    </row>
    <row r="315" spans="1:8" ht="15" customHeight="1" outlineLevel="3">
      <c r="A315" s="37" t="str">
        <f>'Приложение 2'!A316</f>
        <v>на выплату пособий по опеке и попечительству</v>
      </c>
      <c r="B315" s="64" t="str">
        <f>'Приложение 2'!C316</f>
        <v>1004</v>
      </c>
      <c r="C315" s="64" t="str">
        <f>'Приложение 2'!D316</f>
        <v>99</v>
      </c>
      <c r="D315" s="64">
        <f>'Приложение 2'!E316</f>
        <v>0</v>
      </c>
      <c r="E315" s="64">
        <f>'Приложение 2'!F316</f>
        <v>300</v>
      </c>
      <c r="F315" s="50">
        <f>'Приложение 2'!G316</f>
        <v>5407.7</v>
      </c>
      <c r="G315" s="50">
        <f>'Приложение 2'!H316</f>
        <v>3906.9</v>
      </c>
      <c r="H315" s="50">
        <f t="shared" si="4"/>
        <v>72.24698115649907</v>
      </c>
    </row>
    <row r="316" spans="1:8" ht="27" customHeight="1" outlineLevel="3">
      <c r="A316" s="37" t="str">
        <f>'Приложение 2'!A317</f>
        <v>на вознаграждение за труд, причитающегося приемным родителям (патронатному воспитателю), и предоставление им мер социальной поддержки </v>
      </c>
      <c r="B316" s="64" t="str">
        <f>'Приложение 2'!C317</f>
        <v>1004</v>
      </c>
      <c r="C316" s="64" t="str">
        <f>'Приложение 2'!D317</f>
        <v>99</v>
      </c>
      <c r="D316" s="64">
        <f>'Приложение 2'!E317</f>
        <v>0</v>
      </c>
      <c r="E316" s="64">
        <f>'Приложение 2'!F317</f>
        <v>300</v>
      </c>
      <c r="F316" s="50">
        <f>'Приложение 2'!G317</f>
        <v>1392.9</v>
      </c>
      <c r="G316" s="50">
        <f>'Приложение 2'!H317</f>
        <v>1189.7</v>
      </c>
      <c r="H316" s="50">
        <f t="shared" si="4"/>
        <v>85.41173092109986</v>
      </c>
    </row>
    <row r="317" spans="1:8" ht="50.25" customHeight="1" outlineLevel="3">
      <c r="A317" s="37" t="str">
        <f>'Приложение 2'!A318</f>
        <v>Субвенция на финансовое обеспечение отдельных государственных полномочий Волгоградской области по обеспечению жилыми помещениями детей-сирот и детей, оставшихся без попечения родителей</v>
      </c>
      <c r="B317" s="64" t="str">
        <f>'Приложение 2'!C318</f>
        <v>1004</v>
      </c>
      <c r="C317" s="64" t="str">
        <f>'Приложение 2'!D318</f>
        <v>99</v>
      </c>
      <c r="D317" s="64">
        <f>'Приложение 2'!E318</f>
        <v>0</v>
      </c>
      <c r="E317" s="64"/>
      <c r="F317" s="50">
        <f>'Приложение 2'!G318</f>
        <v>299.26401</v>
      </c>
      <c r="G317" s="50">
        <f>'Приложение 2'!H318</f>
        <v>0</v>
      </c>
      <c r="H317" s="50">
        <f t="shared" si="4"/>
        <v>0</v>
      </c>
    </row>
    <row r="318" spans="1:8" ht="27" customHeight="1" outlineLevel="3">
      <c r="A318" s="37" t="str">
        <f>'Приложение 2'!A319</f>
        <v>Закупка товаров, работ и услуг для государственных (муниципальных) нужд</v>
      </c>
      <c r="B318" s="64" t="str">
        <f>'Приложение 2'!C319</f>
        <v>1004</v>
      </c>
      <c r="C318" s="64" t="str">
        <f>'Приложение 2'!D319</f>
        <v>99</v>
      </c>
      <c r="D318" s="64">
        <f>'Приложение 2'!E319</f>
        <v>0</v>
      </c>
      <c r="E318" s="64">
        <f>'Приложение 2'!F319</f>
        <v>200</v>
      </c>
      <c r="F318" s="50">
        <f>'Приложение 2'!G319</f>
        <v>299.26401</v>
      </c>
      <c r="G318" s="50">
        <f>'Приложение 2'!H319</f>
        <v>0</v>
      </c>
      <c r="H318" s="50">
        <f t="shared" si="4"/>
        <v>0</v>
      </c>
    </row>
    <row r="319" spans="1:8" ht="19.5" customHeight="1" outlineLevel="3">
      <c r="A319" s="37" t="str">
        <f>'Приложение 2'!A320</f>
        <v>Другие вопросы в области социальной политики</v>
      </c>
      <c r="B319" s="64" t="str">
        <f>'Приложение 2'!C320</f>
        <v>1006</v>
      </c>
      <c r="C319" s="64">
        <f>'Приложение 2'!D320</f>
        <v>0</v>
      </c>
      <c r="D319" s="64">
        <f>'Приложение 2'!E320</f>
        <v>0</v>
      </c>
      <c r="E319" s="64">
        <f>'Приложение 2'!F320</f>
        <v>0</v>
      </c>
      <c r="F319" s="50">
        <f>'Приложение 2'!G320</f>
        <v>972.8779999999999</v>
      </c>
      <c r="G319" s="50">
        <f>'Приложение 2'!H320</f>
        <v>736.44947</v>
      </c>
      <c r="H319" s="50">
        <f t="shared" si="4"/>
        <v>75.69802894093608</v>
      </c>
    </row>
    <row r="320" spans="1:8" ht="24" customHeight="1" outlineLevel="3">
      <c r="A320" s="37" t="str">
        <f>'Приложение 2'!A321</f>
        <v>Непрограммные расходы органов местного самоуправления Алексеевского муниципального района</v>
      </c>
      <c r="B320" s="64" t="str">
        <f>'Приложение 2'!C321</f>
        <v>1006</v>
      </c>
      <c r="C320" s="64" t="str">
        <f>'Приложение 2'!D321</f>
        <v>99</v>
      </c>
      <c r="D320" s="64">
        <f>'Приложение 2'!E321</f>
        <v>0</v>
      </c>
      <c r="E320" s="64">
        <f>'Приложение 2'!F321</f>
        <v>0</v>
      </c>
      <c r="F320" s="50">
        <f>'Приложение 2'!G321</f>
        <v>972.8779999999999</v>
      </c>
      <c r="G320" s="50">
        <f>'Приложение 2'!H321</f>
        <v>736.44947</v>
      </c>
      <c r="H320" s="50">
        <f t="shared" si="4"/>
        <v>75.69802894093608</v>
      </c>
    </row>
    <row r="321" spans="1:8" ht="52.5" customHeight="1" outlineLevel="3">
      <c r="A321" s="37" t="str">
        <f>'Приложение 2'!A322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321" s="64" t="str">
        <f>'Приложение 2'!C322</f>
        <v>1006</v>
      </c>
      <c r="C321" s="64" t="str">
        <f>'Приложение 2'!D322</f>
        <v>99</v>
      </c>
      <c r="D321" s="64">
        <f>'Приложение 2'!E322</f>
        <v>0</v>
      </c>
      <c r="E321" s="64">
        <f>'Приложение 2'!F322</f>
        <v>0</v>
      </c>
      <c r="F321" s="50">
        <f>'Приложение 2'!G322</f>
        <v>972.8779999999999</v>
      </c>
      <c r="G321" s="50">
        <f>'Приложение 2'!H322</f>
        <v>736.44947</v>
      </c>
      <c r="H321" s="50">
        <f t="shared" si="4"/>
        <v>75.69802894093608</v>
      </c>
    </row>
    <row r="322" spans="1:8" ht="25.5" customHeight="1" outlineLevel="2">
      <c r="A322" s="37" t="str">
        <f>'Приложение 2'!A323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22" s="64" t="str">
        <f>'Приложение 2'!C323</f>
        <v>1006</v>
      </c>
      <c r="C322" s="64" t="str">
        <f>'Приложение 2'!D323</f>
        <v>99</v>
      </c>
      <c r="D322" s="64">
        <f>'Приложение 2'!E323</f>
        <v>0</v>
      </c>
      <c r="E322" s="64">
        <f>'Приложение 2'!F323</f>
        <v>100</v>
      </c>
      <c r="F322" s="50">
        <f>'Приложение 2'!G323</f>
        <v>957.66</v>
      </c>
      <c r="G322" s="50">
        <f>'Приложение 2'!H323</f>
        <v>728.38547</v>
      </c>
      <c r="H322" s="50">
        <f t="shared" si="4"/>
        <v>76.0588799782804</v>
      </c>
    </row>
    <row r="323" spans="1:8" ht="15.75" customHeight="1" outlineLevel="2">
      <c r="A323" s="37" t="str">
        <f>'Приложение 2'!A324</f>
        <v>Закупка товаров, работ и услуг для государственных (муниципальных) нужд</v>
      </c>
      <c r="B323" s="64" t="str">
        <f>'Приложение 2'!C324</f>
        <v>1006</v>
      </c>
      <c r="C323" s="64" t="str">
        <f>'Приложение 2'!D324</f>
        <v>99</v>
      </c>
      <c r="D323" s="64">
        <f>'Приложение 2'!E324</f>
        <v>0</v>
      </c>
      <c r="E323" s="64">
        <f>'Приложение 2'!F324</f>
        <v>200</v>
      </c>
      <c r="F323" s="50">
        <f>'Приложение 2'!G324</f>
        <v>15.218000000000004</v>
      </c>
      <c r="G323" s="50">
        <f>'Приложение 2'!H324</f>
        <v>8.064</v>
      </c>
      <c r="H323" s="50">
        <f t="shared" si="4"/>
        <v>52.9898804047838</v>
      </c>
    </row>
    <row r="324" spans="1:8" ht="15.75" customHeight="1" outlineLevel="2">
      <c r="A324" s="37" t="str">
        <f>'Приложение 2'!A325</f>
        <v>Физическая культура и спорт</v>
      </c>
      <c r="B324" s="64" t="str">
        <f>'Приложение 2'!C325</f>
        <v>1100</v>
      </c>
      <c r="C324" s="64"/>
      <c r="D324" s="64"/>
      <c r="E324" s="64"/>
      <c r="F324" s="50">
        <f>'Приложение 2'!G325</f>
        <v>400</v>
      </c>
      <c r="G324" s="50">
        <f>'Приложение 2'!H325</f>
        <v>292.8338</v>
      </c>
      <c r="H324" s="50">
        <f t="shared" si="4"/>
        <v>73.20845</v>
      </c>
    </row>
    <row r="325" spans="1:8" ht="15.75" customHeight="1" hidden="1" outlineLevel="2">
      <c r="A325" s="37" t="str">
        <f>'Приложение 2'!A326</f>
        <v>Физическая культура </v>
      </c>
      <c r="B325" s="64" t="str">
        <f>'Приложение 2'!C326</f>
        <v>1101</v>
      </c>
      <c r="C325" s="64"/>
      <c r="D325" s="64"/>
      <c r="E325" s="64"/>
      <c r="F325" s="50">
        <f>'Приложение 2'!G326</f>
        <v>0</v>
      </c>
      <c r="G325" s="50">
        <f>'Приложение 2'!H326</f>
        <v>0</v>
      </c>
      <c r="H325" s="50" t="e">
        <f t="shared" si="4"/>
        <v>#DIV/0!</v>
      </c>
    </row>
    <row r="326" spans="1:8" ht="26.25" customHeight="1" hidden="1" outlineLevel="2">
      <c r="A326" s="37" t="str">
        <f>'Приложение 2'!A327</f>
        <v>Муниципальная программа "Комплексное развитие сельских территорий"</v>
      </c>
      <c r="B326" s="64" t="str">
        <f>'Приложение 2'!C327</f>
        <v>1101</v>
      </c>
      <c r="C326" s="64" t="str">
        <f>'Приложение 2'!D327</f>
        <v>03</v>
      </c>
      <c r="D326" s="64">
        <f>'Приложение 2'!E327</f>
        <v>0</v>
      </c>
      <c r="E326" s="64"/>
      <c r="F326" s="50">
        <f>'Приложение 2'!G327</f>
        <v>0</v>
      </c>
      <c r="G326" s="50">
        <f>'Приложение 2'!H327</f>
        <v>0</v>
      </c>
      <c r="H326" s="50" t="e">
        <f t="shared" si="4"/>
        <v>#DIV/0!</v>
      </c>
    </row>
    <row r="327" spans="1:8" ht="15.75" customHeight="1" hidden="1" outlineLevel="2">
      <c r="A327" s="37" t="str">
        <f>'Приложение 2'!A328</f>
        <v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v>
      </c>
      <c r="B327" s="64" t="str">
        <f>'Приложение 2'!C328</f>
        <v>1101</v>
      </c>
      <c r="C327" s="64" t="str">
        <f>'Приложение 2'!D328</f>
        <v>03</v>
      </c>
      <c r="D327" s="64">
        <f>'Приложение 2'!E328</f>
        <v>0</v>
      </c>
      <c r="E327" s="64">
        <f>'Приложение 2'!F328</f>
        <v>400</v>
      </c>
      <c r="F327" s="50">
        <f>'Приложение 2'!G328</f>
        <v>0</v>
      </c>
      <c r="G327" s="50">
        <f>'Приложение 2'!H328</f>
        <v>0</v>
      </c>
      <c r="H327" s="50" t="e">
        <f t="shared" si="4"/>
        <v>#DIV/0!</v>
      </c>
    </row>
    <row r="328" spans="1:8" ht="15.75" customHeight="1" hidden="1" outlineLevel="2">
      <c r="A328" s="37" t="str">
        <f>'Приложение 2'!A329</f>
        <v>Капитальные вложения в объекты государственной (муниципальной) собственности (софинансирование)</v>
      </c>
      <c r="B328" s="64" t="str">
        <f>'Приложение 2'!C329</f>
        <v>1101</v>
      </c>
      <c r="C328" s="64" t="str">
        <f>'Приложение 2'!D329</f>
        <v>03</v>
      </c>
      <c r="D328" s="64">
        <f>'Приложение 2'!E329</f>
        <v>0</v>
      </c>
      <c r="E328" s="64">
        <f>'Приложение 2'!F329</f>
        <v>400</v>
      </c>
      <c r="F328" s="50">
        <f>'Приложение 2'!G329</f>
        <v>0</v>
      </c>
      <c r="G328" s="50">
        <f>'Приложение 2'!H329</f>
        <v>0</v>
      </c>
      <c r="H328" s="50" t="e">
        <f t="shared" si="4"/>
        <v>#DIV/0!</v>
      </c>
    </row>
    <row r="329" spans="1:8" ht="12.75" hidden="1" outlineLevel="2">
      <c r="A329" s="37" t="str">
        <f>'Приложение 2'!A330</f>
        <v>Массовый спорт</v>
      </c>
      <c r="B329" s="64" t="str">
        <f>'Приложение 2'!C330</f>
        <v>1102</v>
      </c>
      <c r="C329" s="64"/>
      <c r="D329" s="64"/>
      <c r="E329" s="64"/>
      <c r="F329" s="50">
        <f>'Приложение 2'!G330</f>
        <v>0</v>
      </c>
      <c r="G329" s="50">
        <f>'Приложение 2'!H330</f>
        <v>0</v>
      </c>
      <c r="H329" s="50" t="e">
        <f t="shared" si="4"/>
        <v>#DIV/0!</v>
      </c>
    </row>
    <row r="330" spans="1:8" ht="36" hidden="1" outlineLevel="2">
      <c r="A330" s="37" t="str">
        <f>'Приложение 2'!A331</f>
        <v>Муниципальная программа "Развитие физической культуры и спорта в Алексеевском муниципальном районе на 2019-2023 годы"</v>
      </c>
      <c r="B330" s="64" t="str">
        <f>'Приложение 2'!C331</f>
        <v>1102</v>
      </c>
      <c r="C330" s="64" t="str">
        <f>'Приложение 2'!D331</f>
        <v>17</v>
      </c>
      <c r="D330" s="64">
        <f>'Приложение 2'!E331</f>
        <v>0</v>
      </c>
      <c r="E330" s="64"/>
      <c r="F330" s="50">
        <f>'Приложение 2'!G331</f>
        <v>0</v>
      </c>
      <c r="G330" s="50">
        <f>'Приложение 2'!H331</f>
        <v>0</v>
      </c>
      <c r="H330" s="50" t="e">
        <f t="shared" si="4"/>
        <v>#DIV/0!</v>
      </c>
    </row>
    <row r="331" spans="1:8" ht="36" hidden="1" outlineLevel="2">
      <c r="A331" s="37" t="str">
        <f>'Приложение 2'!A332</f>
        <v>Субсидия местным бюджетам на дооснащение действующих объектов физической кудьтуры и спорта оборудованием для лиц с ограниченными возможностями здоровья</v>
      </c>
      <c r="B331" s="64" t="str">
        <f>'Приложение 2'!C332</f>
        <v>1102</v>
      </c>
      <c r="C331" s="64" t="str">
        <f>'Приложение 2'!D332</f>
        <v>17</v>
      </c>
      <c r="D331" s="64">
        <f>'Приложение 2'!E332</f>
        <v>0</v>
      </c>
      <c r="E331" s="64">
        <f>'Приложение 2'!F332</f>
        <v>400</v>
      </c>
      <c r="F331" s="50">
        <f>'Приложение 2'!G332</f>
        <v>0</v>
      </c>
      <c r="G331" s="50">
        <f>'Приложение 2'!H332</f>
        <v>0</v>
      </c>
      <c r="H331" s="50" t="e">
        <f aca="true" t="shared" si="5" ref="H331:H349">SUM(G331/F331)*100</f>
        <v>#DIV/0!</v>
      </c>
    </row>
    <row r="332" spans="1:8" ht="24" hidden="1" outlineLevel="3">
      <c r="A332" s="37" t="str">
        <f>'Приложение 2'!A333</f>
        <v>Капитальные вложения в объекты государственной (муниципальной) собственности</v>
      </c>
      <c r="B332" s="64" t="str">
        <f>'Приложение 2'!C333</f>
        <v>1102</v>
      </c>
      <c r="C332" s="64" t="str">
        <f>'Приложение 2'!D333</f>
        <v>17</v>
      </c>
      <c r="D332" s="64">
        <f>'Приложение 2'!E333</f>
        <v>0</v>
      </c>
      <c r="E332" s="64">
        <f>'Приложение 2'!F333</f>
        <v>400</v>
      </c>
      <c r="F332" s="50">
        <f>'Приложение 2'!G333</f>
        <v>0</v>
      </c>
      <c r="G332" s="50">
        <f>'Приложение 2'!H333</f>
        <v>0</v>
      </c>
      <c r="H332" s="50" t="e">
        <f t="shared" si="5"/>
        <v>#DIV/0!</v>
      </c>
    </row>
    <row r="333" spans="1:8" ht="19.5" customHeight="1" outlineLevel="3">
      <c r="A333" s="37" t="str">
        <f>'Приложение 2'!A334</f>
        <v>Другие вопросы в области физической культуры и спорта</v>
      </c>
      <c r="B333" s="64" t="str">
        <f>'Приложение 2'!C334</f>
        <v>1105</v>
      </c>
      <c r="C333" s="64"/>
      <c r="D333" s="64"/>
      <c r="E333" s="64"/>
      <c r="F333" s="50">
        <f>'Приложение 2'!G334</f>
        <v>400</v>
      </c>
      <c r="G333" s="50">
        <f>'Приложение 2'!H334</f>
        <v>292.8338</v>
      </c>
      <c r="H333" s="50">
        <f t="shared" si="5"/>
        <v>73.20845</v>
      </c>
    </row>
    <row r="334" spans="1:8" ht="27" customHeight="1" outlineLevel="3">
      <c r="A334" s="37" t="str">
        <f>'Приложение 2'!A335</f>
        <v>Муниципальная программа "Развитие физической культуры и спорта в Алексеевском муниципальном районе на 2019-2023 годы"</v>
      </c>
      <c r="B334" s="64" t="str">
        <f>'Приложение 2'!C335</f>
        <v>1105</v>
      </c>
      <c r="C334" s="64" t="str">
        <f>'Приложение 2'!D335</f>
        <v>17</v>
      </c>
      <c r="D334" s="64">
        <f>'Приложение 2'!E335</f>
        <v>0</v>
      </c>
      <c r="E334" s="64"/>
      <c r="F334" s="50">
        <f>'Приложение 2'!G335</f>
        <v>400</v>
      </c>
      <c r="G334" s="50">
        <f>'Приложение 2'!H335</f>
        <v>292.8338</v>
      </c>
      <c r="H334" s="50">
        <f t="shared" si="5"/>
        <v>73.20845</v>
      </c>
    </row>
    <row r="335" spans="1:8" ht="13.5" customHeight="1" outlineLevel="3">
      <c r="A335" s="37" t="str">
        <f>'Приложение 2'!A336</f>
        <v>Закупка товаров, работ и услуг для государственных (муниципальных) нужд</v>
      </c>
      <c r="B335" s="64" t="str">
        <f>'Приложение 2'!C336</f>
        <v>1105</v>
      </c>
      <c r="C335" s="64" t="str">
        <f>'Приложение 2'!D336</f>
        <v>17</v>
      </c>
      <c r="D335" s="64">
        <f>'Приложение 2'!E336</f>
        <v>0</v>
      </c>
      <c r="E335" s="64">
        <f>'Приложение 2'!F336</f>
        <v>200</v>
      </c>
      <c r="F335" s="50">
        <f>'Приложение 2'!G336</f>
        <v>400</v>
      </c>
      <c r="G335" s="50">
        <f>'Приложение 2'!H336</f>
        <v>292.8338</v>
      </c>
      <c r="H335" s="50">
        <f t="shared" si="5"/>
        <v>73.20845</v>
      </c>
    </row>
    <row r="336" spans="1:8" ht="12.75" outlineLevel="1">
      <c r="A336" s="37" t="str">
        <f>'Приложение 2'!A337</f>
        <v>Средства массовой информации </v>
      </c>
      <c r="B336" s="64" t="str">
        <f>'Приложение 2'!C337</f>
        <v>1200</v>
      </c>
      <c r="C336" s="64"/>
      <c r="D336" s="64"/>
      <c r="E336" s="64"/>
      <c r="F336" s="50">
        <f>'Приложение 2'!G337</f>
        <v>2147.7</v>
      </c>
      <c r="G336" s="50">
        <f>'Приложение 2'!H337</f>
        <v>1847.7</v>
      </c>
      <c r="H336" s="50">
        <f t="shared" si="5"/>
        <v>86.03156865484007</v>
      </c>
    </row>
    <row r="337" spans="1:8" ht="16.5" customHeight="1" outlineLevel="2">
      <c r="A337" s="37" t="str">
        <f>'Приложение 2'!A338</f>
        <v>Периодическая печать и издательства</v>
      </c>
      <c r="B337" s="64" t="str">
        <f>'Приложение 2'!C338</f>
        <v>1202</v>
      </c>
      <c r="C337" s="64"/>
      <c r="D337" s="64"/>
      <c r="E337" s="64"/>
      <c r="F337" s="50">
        <f>'Приложение 2'!G338</f>
        <v>2147.7</v>
      </c>
      <c r="G337" s="50">
        <f>'Приложение 2'!H338</f>
        <v>1847.7</v>
      </c>
      <c r="H337" s="50">
        <f t="shared" si="5"/>
        <v>86.03156865484007</v>
      </c>
    </row>
    <row r="338" spans="1:8" ht="36" outlineLevel="2">
      <c r="A338" s="37" t="str">
        <f>'Приложение 2'!A339</f>
        <v>Ведомственная целевая программа "Поддержка средств массовой информации в Алексеевском муниципальном районе на 2022-2024 годы"</v>
      </c>
      <c r="B338" s="64" t="str">
        <f>'Приложение 2'!C339</f>
        <v>1202</v>
      </c>
      <c r="C338" s="64" t="str">
        <f>'Приложение 2'!D339</f>
        <v>61</v>
      </c>
      <c r="D338" s="64">
        <f>'Приложение 2'!E339</f>
        <v>0</v>
      </c>
      <c r="E338" s="64"/>
      <c r="F338" s="50">
        <f>'Приложение 2'!G339</f>
        <v>2147.7</v>
      </c>
      <c r="G338" s="50">
        <f>'Приложение 2'!H339</f>
        <v>1847.7</v>
      </c>
      <c r="H338" s="50">
        <f t="shared" si="5"/>
        <v>86.03156865484007</v>
      </c>
    </row>
    <row r="339" spans="1:8" ht="24" outlineLevel="5">
      <c r="A339" s="37" t="str">
        <f>'Приложение 2'!A340</f>
        <v>Предоставление субсидий бюджетным, автономным учреждениям и иным некоммерческим организациям</v>
      </c>
      <c r="B339" s="64" t="str">
        <f>'Приложение 2'!C340</f>
        <v>1202</v>
      </c>
      <c r="C339" s="64" t="str">
        <f>'Приложение 2'!D340</f>
        <v>61</v>
      </c>
      <c r="D339" s="64">
        <f>'Приложение 2'!E340</f>
        <v>0</v>
      </c>
      <c r="E339" s="64">
        <f>'Приложение 2'!F340</f>
        <v>600</v>
      </c>
      <c r="F339" s="50">
        <f>'Приложение 2'!G340</f>
        <v>1200</v>
      </c>
      <c r="G339" s="50">
        <f>'Приложение 2'!H340</f>
        <v>900</v>
      </c>
      <c r="H339" s="50">
        <f t="shared" si="5"/>
        <v>75</v>
      </c>
    </row>
    <row r="340" spans="1:8" ht="96" outlineLevel="5">
      <c r="A340" s="37" t="str">
        <f>'Приложение 2'!A341</f>
        <v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v>
      </c>
      <c r="B340" s="64" t="str">
        <f>'Приложение 2'!C341</f>
        <v>1202</v>
      </c>
      <c r="C340" s="64" t="str">
        <f>'Приложение 2'!D341</f>
        <v>61</v>
      </c>
      <c r="D340" s="64">
        <f>'Приложение 2'!E341</f>
        <v>0</v>
      </c>
      <c r="E340" s="64">
        <f>'Приложение 2'!F341</f>
        <v>600</v>
      </c>
      <c r="F340" s="50">
        <f>'Приложение 2'!G341</f>
        <v>947.7</v>
      </c>
      <c r="G340" s="50">
        <f>'Приложение 2'!H341</f>
        <v>947.7</v>
      </c>
      <c r="H340" s="50">
        <f t="shared" si="5"/>
        <v>100</v>
      </c>
    </row>
    <row r="341" spans="1:8" ht="19.5" customHeight="1" outlineLevel="5">
      <c r="A341" s="37" t="str">
        <f>'Приложение 2'!A342</f>
        <v>Обслуживание государственного (муниципального долга)</v>
      </c>
      <c r="B341" s="64" t="str">
        <f>'Приложение 2'!C342</f>
        <v>1300</v>
      </c>
      <c r="C341" s="64"/>
      <c r="D341" s="64"/>
      <c r="E341" s="64"/>
      <c r="F341" s="50">
        <f>'Приложение 2'!G342</f>
        <v>1370</v>
      </c>
      <c r="G341" s="50">
        <f>'Приложение 2'!H342</f>
        <v>743.17806</v>
      </c>
      <c r="H341" s="50">
        <f t="shared" si="5"/>
        <v>54.24657372262773</v>
      </c>
    </row>
    <row r="342" spans="1:8" ht="28.5" customHeight="1" outlineLevel="5">
      <c r="A342" s="37" t="str">
        <f>'Приложение 2'!A343</f>
        <v>Обслуживание государственного (муниципального) внутреннего долга </v>
      </c>
      <c r="B342" s="64" t="str">
        <f>'Приложение 2'!C343</f>
        <v>1301</v>
      </c>
      <c r="C342" s="64"/>
      <c r="D342" s="64"/>
      <c r="E342" s="64"/>
      <c r="F342" s="50">
        <f>'Приложение 2'!G343</f>
        <v>1370</v>
      </c>
      <c r="G342" s="50">
        <f>'Приложение 2'!H343</f>
        <v>743.17806</v>
      </c>
      <c r="H342" s="50">
        <f t="shared" si="5"/>
        <v>54.24657372262773</v>
      </c>
    </row>
    <row r="343" spans="1:8" ht="24" outlineLevel="5">
      <c r="A343" s="37" t="str">
        <f>'Приложение 2'!A344</f>
        <v>Непрограммные расходы органов местного самоуправления Алексеевского муниципального района</v>
      </c>
      <c r="B343" s="64" t="str">
        <f>'Приложение 2'!C344</f>
        <v>1301</v>
      </c>
      <c r="C343" s="64" t="str">
        <f>'Приложение 2'!D344</f>
        <v>99</v>
      </c>
      <c r="D343" s="64">
        <f>'Приложение 2'!E344</f>
        <v>0</v>
      </c>
      <c r="E343" s="64"/>
      <c r="F343" s="50">
        <f>'Приложение 2'!G344</f>
        <v>1370</v>
      </c>
      <c r="G343" s="50">
        <f>'Приложение 2'!H344</f>
        <v>743.17806</v>
      </c>
      <c r="H343" s="50">
        <f t="shared" si="5"/>
        <v>54.24657372262773</v>
      </c>
    </row>
    <row r="344" spans="1:8" ht="20.25" customHeight="1" outlineLevel="5">
      <c r="A344" s="37" t="str">
        <f>'Приложение 2'!A345</f>
        <v>Обслуживание государственного (муниципального) долга</v>
      </c>
      <c r="B344" s="64" t="str">
        <f>'Приложение 2'!C345</f>
        <v>1301</v>
      </c>
      <c r="C344" s="64" t="str">
        <f>'Приложение 2'!D345</f>
        <v>99</v>
      </c>
      <c r="D344" s="64">
        <f>'Приложение 2'!E345</f>
        <v>0</v>
      </c>
      <c r="E344" s="64">
        <f>'Приложение 2'!F345</f>
        <v>700</v>
      </c>
      <c r="F344" s="50">
        <f>'Приложение 2'!G345</f>
        <v>1370</v>
      </c>
      <c r="G344" s="50">
        <f>'Приложение 2'!H345</f>
        <v>743.17806</v>
      </c>
      <c r="H344" s="50">
        <f t="shared" si="5"/>
        <v>54.24657372262773</v>
      </c>
    </row>
    <row r="345" spans="1:8" ht="30.75" customHeight="1" outlineLevel="5">
      <c r="A345" s="37" t="str">
        <f>'Приложение 2'!A346</f>
        <v>Межбюджетные трансферты общего характера бюджетам бюджетной системы Российской Федерации</v>
      </c>
      <c r="B345" s="64" t="str">
        <f>'Приложение 2'!C346</f>
        <v>1400</v>
      </c>
      <c r="C345" s="64"/>
      <c r="D345" s="64"/>
      <c r="E345" s="64"/>
      <c r="F345" s="50">
        <f>'Приложение 2'!G346</f>
        <v>21884.85879</v>
      </c>
      <c r="G345" s="50">
        <f>'Приложение 2'!H346</f>
        <v>13539.65879</v>
      </c>
      <c r="H345" s="50">
        <f t="shared" si="5"/>
        <v>61.86770003828752</v>
      </c>
    </row>
    <row r="346" spans="1:8" ht="18.75" customHeight="1" outlineLevel="5">
      <c r="A346" s="37" t="str">
        <f>'Приложение 2'!A347</f>
        <v>Прочие межбюджетные трансферты общего характера</v>
      </c>
      <c r="B346" s="64" t="str">
        <f>'Приложение 2'!C347</f>
        <v>1403</v>
      </c>
      <c r="C346" s="64"/>
      <c r="D346" s="64"/>
      <c r="E346" s="64"/>
      <c r="F346" s="50">
        <f>'Приложение 2'!G347</f>
        <v>21884.85879</v>
      </c>
      <c r="G346" s="50">
        <f>'Приложение 2'!H347</f>
        <v>13539.65879</v>
      </c>
      <c r="H346" s="50">
        <f t="shared" si="5"/>
        <v>61.86770003828752</v>
      </c>
    </row>
    <row r="347" spans="1:8" ht="17.25" customHeight="1" outlineLevel="5">
      <c r="A347" s="37" t="str">
        <f>'Приложение 2'!A348</f>
        <v>Непрограммные расходы органов местного самоуправления Алексеевского муниципального района</v>
      </c>
      <c r="B347" s="64" t="str">
        <f>'Приложение 2'!C348</f>
        <v>1403</v>
      </c>
      <c r="C347" s="64" t="str">
        <f>'Приложение 2'!D348</f>
        <v>99</v>
      </c>
      <c r="D347" s="64">
        <f>'Приложение 2'!E348</f>
        <v>0</v>
      </c>
      <c r="E347" s="64"/>
      <c r="F347" s="50">
        <f>'Приложение 2'!G348</f>
        <v>21884.85879</v>
      </c>
      <c r="G347" s="50">
        <f>'Приложение 2'!H348</f>
        <v>13539.65879</v>
      </c>
      <c r="H347" s="50">
        <f t="shared" si="5"/>
        <v>61.86770003828752</v>
      </c>
    </row>
    <row r="348" spans="1:8" ht="12.75">
      <c r="A348" s="37" t="str">
        <f>'Приложение 2'!A349</f>
        <v>Межбюджетные трансферты</v>
      </c>
      <c r="B348" s="64" t="str">
        <f>'Приложение 2'!C349</f>
        <v>1403</v>
      </c>
      <c r="C348" s="64" t="str">
        <f>'Приложение 2'!D349</f>
        <v>99</v>
      </c>
      <c r="D348" s="64">
        <f>'Приложение 2'!E349</f>
        <v>0</v>
      </c>
      <c r="E348" s="64">
        <f>'Приложение 2'!F349</f>
        <v>500</v>
      </c>
      <c r="F348" s="50">
        <f>'Приложение 2'!G349</f>
        <v>21884.85879</v>
      </c>
      <c r="G348" s="50">
        <f>'Приложение 2'!H349</f>
        <v>13539.65879</v>
      </c>
      <c r="H348" s="50">
        <f t="shared" si="5"/>
        <v>61.86770003828752</v>
      </c>
    </row>
    <row r="349" spans="1:8" ht="12.75">
      <c r="A349" s="37" t="str">
        <f>'Приложение 2'!A350</f>
        <v>Всего </v>
      </c>
      <c r="B349" s="64"/>
      <c r="C349" s="64"/>
      <c r="D349" s="64"/>
      <c r="E349" s="64"/>
      <c r="F349" s="50">
        <f>'Приложение 2'!G350</f>
        <v>505721.58928</v>
      </c>
      <c r="G349" s="50">
        <f>'Приложение 2'!H350</f>
        <v>346330.81569000013</v>
      </c>
      <c r="H349" s="50">
        <f t="shared" si="5"/>
        <v>68.48250559820357</v>
      </c>
    </row>
    <row r="350" spans="1:5" ht="12.75">
      <c r="A350" s="2"/>
      <c r="B350" s="2"/>
      <c r="C350" s="2"/>
      <c r="D350" s="2"/>
      <c r="E350" s="2"/>
    </row>
  </sheetData>
  <sheetProtection/>
  <mergeCells count="6">
    <mergeCell ref="F8:G8"/>
    <mergeCell ref="F1:H1"/>
    <mergeCell ref="B2:H2"/>
    <mergeCell ref="E3:H3"/>
    <mergeCell ref="A4:H4"/>
    <mergeCell ref="A6:H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80"/>
  <sheetViews>
    <sheetView showGridLines="0"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J67" sqref="J67"/>
    </sheetView>
  </sheetViews>
  <sheetFormatPr defaultColWidth="9.140625" defaultRowHeight="12.75" outlineLevelRow="5"/>
  <cols>
    <col min="1" max="1" width="46.421875" style="5" customWidth="1"/>
    <col min="2" max="2" width="5.421875" style="9" customWidth="1"/>
    <col min="3" max="3" width="4.7109375" style="10" customWidth="1"/>
    <col min="4" max="4" width="6.7109375" style="8" customWidth="1"/>
    <col min="5" max="5" width="12.421875" style="2" customWidth="1"/>
    <col min="6" max="6" width="11.57421875" style="2" customWidth="1"/>
    <col min="7" max="7" width="12.140625" style="2" customWidth="1"/>
    <col min="8" max="8" width="9.140625" style="2" customWidth="1"/>
    <col min="9" max="16384" width="9.140625" style="2" customWidth="1"/>
  </cols>
  <sheetData>
    <row r="1" spans="3:7" ht="18.75" customHeight="1">
      <c r="C1" s="108" t="s">
        <v>338</v>
      </c>
      <c r="D1" s="108"/>
      <c r="E1" s="108"/>
      <c r="F1" s="108"/>
      <c r="G1" s="108"/>
    </row>
    <row r="2" spans="3:7" ht="18.75" customHeight="1">
      <c r="C2" s="108" t="s">
        <v>120</v>
      </c>
      <c r="D2" s="108"/>
      <c r="E2" s="108"/>
      <c r="F2" s="108"/>
      <c r="G2" s="108"/>
    </row>
    <row r="3" spans="3:7" ht="18.75" customHeight="1">
      <c r="C3" s="108" t="s">
        <v>121</v>
      </c>
      <c r="D3" s="108"/>
      <c r="E3" s="108"/>
      <c r="F3" s="108"/>
      <c r="G3" s="108"/>
    </row>
    <row r="4" spans="1:7" ht="21.75" customHeight="1">
      <c r="A4" s="6"/>
      <c r="B4" s="1"/>
      <c r="C4" s="108" t="s">
        <v>147</v>
      </c>
      <c r="D4" s="108"/>
      <c r="E4" s="108"/>
      <c r="F4" s="108"/>
      <c r="G4" s="108"/>
    </row>
    <row r="5" spans="1:7" ht="36.75" customHeight="1">
      <c r="A5" s="103" t="s">
        <v>351</v>
      </c>
      <c r="B5" s="103"/>
      <c r="C5" s="103"/>
      <c r="D5" s="103"/>
      <c r="E5" s="103"/>
      <c r="F5" s="103"/>
      <c r="G5" s="103"/>
    </row>
    <row r="6" spans="1:7" ht="12.75" hidden="1">
      <c r="A6" s="23"/>
      <c r="B6" s="24"/>
      <c r="C6" s="25"/>
      <c r="D6" s="26"/>
      <c r="E6" s="13"/>
      <c r="F6" s="13"/>
      <c r="G6" s="13"/>
    </row>
    <row r="7" spans="1:7" ht="12.75" customHeight="1">
      <c r="A7" s="23"/>
      <c r="B7" s="24"/>
      <c r="C7" s="25"/>
      <c r="D7" s="26"/>
      <c r="E7" s="109"/>
      <c r="F7" s="109"/>
      <c r="G7" s="71" t="s">
        <v>271</v>
      </c>
    </row>
    <row r="8" spans="1:7" ht="72.75" customHeight="1">
      <c r="A8" s="42" t="s">
        <v>1</v>
      </c>
      <c r="B8" s="77" t="s">
        <v>170</v>
      </c>
      <c r="C8" s="78" t="s">
        <v>8</v>
      </c>
      <c r="D8" s="79" t="s">
        <v>169</v>
      </c>
      <c r="E8" s="27" t="s">
        <v>280</v>
      </c>
      <c r="F8" s="27" t="s">
        <v>347</v>
      </c>
      <c r="G8" s="27" t="s">
        <v>346</v>
      </c>
    </row>
    <row r="9" spans="1:7" ht="39" customHeight="1" outlineLevel="2">
      <c r="A9" s="43" t="str">
        <f>'Приложение 2'!A49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9" s="57" t="str">
        <f>'Приложение 2'!D49</f>
        <v>01</v>
      </c>
      <c r="C9" s="57">
        <f>'Приложение 2'!E49</f>
        <v>0</v>
      </c>
      <c r="D9" s="57" t="s">
        <v>171</v>
      </c>
      <c r="E9" s="58">
        <f>SUM('Приложение 2'!G49)</f>
        <v>50</v>
      </c>
      <c r="F9" s="58">
        <f>SUM('Приложение 2'!H49)</f>
        <v>2.8</v>
      </c>
      <c r="G9" s="58">
        <f>SUM(F9/E9)*100</f>
        <v>5.6</v>
      </c>
    </row>
    <row r="10" spans="1:7" ht="17.25" customHeight="1" outlineLevel="2">
      <c r="A10" s="44" t="s">
        <v>177</v>
      </c>
      <c r="B10" s="30" t="s">
        <v>2</v>
      </c>
      <c r="C10" s="30" t="s">
        <v>9</v>
      </c>
      <c r="D10" s="30" t="s">
        <v>2</v>
      </c>
      <c r="E10" s="56">
        <f>SUM('Приложение 2'!G50)</f>
        <v>50</v>
      </c>
      <c r="F10" s="56">
        <f>SUM('Приложение 2'!H50)</f>
        <v>2.8</v>
      </c>
      <c r="G10" s="56">
        <f aca="true" t="shared" si="0" ref="G10:G74">SUM(F10/E10)*100</f>
        <v>5.6</v>
      </c>
    </row>
    <row r="11" spans="1:7" ht="40.5" customHeight="1" outlineLevel="5">
      <c r="A11" s="40" t="str">
        <f>'Приложение 2'!A139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1" s="57" t="s">
        <v>6</v>
      </c>
      <c r="C11" s="59">
        <v>0</v>
      </c>
      <c r="D11" s="57" t="s">
        <v>171</v>
      </c>
      <c r="E11" s="58">
        <f>SUM(E12+E18+E15)</f>
        <v>22857.56786</v>
      </c>
      <c r="F11" s="58">
        <f>SUM(F12+F18+F15)</f>
        <v>12336.35073</v>
      </c>
      <c r="G11" s="58">
        <f t="shared" si="0"/>
        <v>53.97053092244435</v>
      </c>
    </row>
    <row r="12" spans="1:7" ht="49.5" customHeight="1" outlineLevel="5">
      <c r="A12" s="40" t="str">
        <f>'Приложение 2'!A140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2" s="57" t="s">
        <v>6</v>
      </c>
      <c r="C12" s="59">
        <v>1</v>
      </c>
      <c r="D12" s="57" t="s">
        <v>171</v>
      </c>
      <c r="E12" s="58">
        <f>SUM(E13:E14)</f>
        <v>600</v>
      </c>
      <c r="F12" s="58">
        <f>SUM(F13:F14)</f>
        <v>600</v>
      </c>
      <c r="G12" s="58">
        <f t="shared" si="0"/>
        <v>100</v>
      </c>
    </row>
    <row r="13" spans="1:7" ht="25.5" customHeight="1">
      <c r="A13" s="44" t="s">
        <v>181</v>
      </c>
      <c r="B13" s="30" t="s">
        <v>6</v>
      </c>
      <c r="C13" s="30" t="s">
        <v>174</v>
      </c>
      <c r="D13" s="30" t="s">
        <v>2</v>
      </c>
      <c r="E13" s="56">
        <f>SUM('Приложение 2'!G143+'Приложение 2'!G141)</f>
        <v>600</v>
      </c>
      <c r="F13" s="56">
        <f>SUM('Приложение 2'!H143+'Приложение 2'!H141)</f>
        <v>600</v>
      </c>
      <c r="G13" s="56">
        <f t="shared" si="0"/>
        <v>100</v>
      </c>
    </row>
    <row r="14" spans="1:7" ht="27" customHeight="1" hidden="1">
      <c r="A14" s="44" t="s">
        <v>295</v>
      </c>
      <c r="B14" s="30" t="s">
        <v>6</v>
      </c>
      <c r="C14" s="30" t="s">
        <v>174</v>
      </c>
      <c r="D14" s="30" t="s">
        <v>6</v>
      </c>
      <c r="E14" s="56">
        <f>SUM('Приложение 2'!G142)</f>
        <v>0</v>
      </c>
      <c r="F14" s="56">
        <f>SUM('Приложение 2'!H142)</f>
        <v>0</v>
      </c>
      <c r="G14" s="56">
        <v>0</v>
      </c>
    </row>
    <row r="15" spans="1:7" ht="27" customHeight="1">
      <c r="A15" s="40" t="str">
        <f>'[1]Таблица №10'!A134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15" s="57" t="s">
        <v>6</v>
      </c>
      <c r="C15" s="59">
        <v>3</v>
      </c>
      <c r="D15" s="57" t="s">
        <v>171</v>
      </c>
      <c r="E15" s="58">
        <f>SUM(E16:E17)</f>
        <v>20055.61015</v>
      </c>
      <c r="F15" s="58">
        <f>SUM(F16:F17)</f>
        <v>10035.15115</v>
      </c>
      <c r="G15" s="58">
        <f t="shared" si="0"/>
        <v>50.03662852910013</v>
      </c>
    </row>
    <row r="16" spans="1:7" ht="36">
      <c r="A16" s="39" t="s">
        <v>204</v>
      </c>
      <c r="B16" s="30" t="s">
        <v>6</v>
      </c>
      <c r="C16" s="30" t="s">
        <v>176</v>
      </c>
      <c r="D16" s="30" t="s">
        <v>2</v>
      </c>
      <c r="E16" s="56">
        <f>SUM('Приложение 2'!G289+'Приложение 2'!G165+'Приложение 2'!G144)</f>
        <v>10000</v>
      </c>
      <c r="F16" s="56">
        <f>SUM('Приложение 2'!H289+'Приложение 2'!H165+'Приложение 2'!H144)</f>
        <v>0</v>
      </c>
      <c r="G16" s="56">
        <f t="shared" si="0"/>
        <v>0</v>
      </c>
    </row>
    <row r="17" spans="1:7" ht="24">
      <c r="A17" s="44" t="s">
        <v>195</v>
      </c>
      <c r="B17" s="30" t="s">
        <v>6</v>
      </c>
      <c r="C17" s="30" t="s">
        <v>176</v>
      </c>
      <c r="D17" s="30" t="s">
        <v>6</v>
      </c>
      <c r="E17" s="56">
        <f>SUM('Приложение 2'!G166+'Приложение 2'!G188+'Приложение 2'!G65+'Приложение 2'!G227)</f>
        <v>10055.61015</v>
      </c>
      <c r="F17" s="56">
        <f>SUM('Приложение 2'!H166+'Приложение 2'!H188+'Приложение 2'!H65+'Приложение 2'!H227)</f>
        <v>10035.15115</v>
      </c>
      <c r="G17" s="56">
        <f t="shared" si="0"/>
        <v>99.79654143612558</v>
      </c>
    </row>
    <row r="18" spans="1:7" ht="36" customHeight="1">
      <c r="A18" s="43" t="str">
        <f>'Приложение 2'!A66</f>
        <v>Подпрограмма "Энергосбережение и повышение энергетической эффективности Алексеевского муниципального района"</v>
      </c>
      <c r="B18" s="57" t="s">
        <v>6</v>
      </c>
      <c r="C18" s="57" t="s">
        <v>182</v>
      </c>
      <c r="D18" s="57" t="s">
        <v>171</v>
      </c>
      <c r="E18" s="58">
        <f>SUM(E19:E20)</f>
        <v>2201.9577099999997</v>
      </c>
      <c r="F18" s="58">
        <f>SUM(F19:F20)</f>
        <v>1701.19958</v>
      </c>
      <c r="G18" s="58">
        <f t="shared" si="0"/>
        <v>77.25850375209977</v>
      </c>
    </row>
    <row r="19" spans="1:7" ht="27.75" customHeight="1">
      <c r="A19" s="44" t="s">
        <v>211</v>
      </c>
      <c r="B19" s="30" t="s">
        <v>6</v>
      </c>
      <c r="C19" s="30" t="s">
        <v>182</v>
      </c>
      <c r="D19" s="30" t="s">
        <v>2</v>
      </c>
      <c r="E19" s="56">
        <f>SUM('Приложение 2'!G67+'Приложение 2'!G168+'Приложение 2'!G193+'Приложение 2'!G192)</f>
        <v>1149.32613</v>
      </c>
      <c r="F19" s="56">
        <f>SUM('Приложение 2'!H67+'Приложение 2'!H168+'Приложение 2'!H193+'Приложение 2'!H192)</f>
        <v>648.5680000000001</v>
      </c>
      <c r="G19" s="56">
        <f t="shared" si="0"/>
        <v>56.430284065672474</v>
      </c>
    </row>
    <row r="20" spans="1:7" ht="48">
      <c r="A20" s="44" t="s">
        <v>264</v>
      </c>
      <c r="B20" s="30" t="s">
        <v>6</v>
      </c>
      <c r="C20" s="30" t="s">
        <v>182</v>
      </c>
      <c r="D20" s="30" t="s">
        <v>6</v>
      </c>
      <c r="E20" s="56">
        <f>SUM('Приложение 2'!G194)</f>
        <v>1052.63158</v>
      </c>
      <c r="F20" s="56">
        <f>SUM('Приложение 2'!H194)</f>
        <v>1052.63158</v>
      </c>
      <c r="G20" s="56">
        <f t="shared" si="0"/>
        <v>100</v>
      </c>
    </row>
    <row r="21" spans="1:7" ht="26.25" customHeight="1">
      <c r="A21" s="40" t="str">
        <f>'Приложение 2'!A155</f>
        <v>Муниципальная программа "Комплексное развитие сельских территорий"</v>
      </c>
      <c r="B21" s="57" t="s">
        <v>12</v>
      </c>
      <c r="C21" s="57" t="s">
        <v>9</v>
      </c>
      <c r="D21" s="57" t="s">
        <v>171</v>
      </c>
      <c r="E21" s="58">
        <f>SUM(E22:E23)</f>
        <v>21677.25984</v>
      </c>
      <c r="F21" s="58">
        <f>SUM(F22:F23)</f>
        <v>21677.25984</v>
      </c>
      <c r="G21" s="58">
        <f t="shared" si="0"/>
        <v>100</v>
      </c>
    </row>
    <row r="22" spans="1:7" ht="26.25" customHeight="1">
      <c r="A22" s="39" t="s">
        <v>337</v>
      </c>
      <c r="B22" s="30" t="s">
        <v>12</v>
      </c>
      <c r="C22" s="30" t="s">
        <v>9</v>
      </c>
      <c r="D22" s="30" t="s">
        <v>6</v>
      </c>
      <c r="E22" s="56">
        <f>SUM('Приложение 2'!G155)</f>
        <v>2514.1000000000004</v>
      </c>
      <c r="F22" s="56">
        <f>SUM('Приложение 2'!H155)</f>
        <v>2514.1</v>
      </c>
      <c r="G22" s="56">
        <f t="shared" si="0"/>
        <v>99.99999999999997</v>
      </c>
    </row>
    <row r="23" spans="1:7" ht="24">
      <c r="A23" s="39" t="s">
        <v>325</v>
      </c>
      <c r="B23" s="30" t="s">
        <v>12</v>
      </c>
      <c r="C23" s="30" t="s">
        <v>9</v>
      </c>
      <c r="D23" s="30" t="s">
        <v>13</v>
      </c>
      <c r="E23" s="56">
        <f>SUM('Приложение 2'!G264)</f>
        <v>19163.15984</v>
      </c>
      <c r="F23" s="56">
        <f>SUM('Приложение 2'!H264)</f>
        <v>19163.15984</v>
      </c>
      <c r="G23" s="56">
        <f t="shared" si="0"/>
        <v>100</v>
      </c>
    </row>
    <row r="24" spans="1:7" ht="39" customHeight="1">
      <c r="A24" s="40" t="str">
        <f>'Приложение 2'!A127</f>
        <v>Муниципальная программа "Развитие и поддержка малого предпринимательства Алексеевского муниципального района на 2019-2023 годы "</v>
      </c>
      <c r="B24" s="57" t="s">
        <v>13</v>
      </c>
      <c r="C24" s="57" t="s">
        <v>9</v>
      </c>
      <c r="D24" s="57" t="s">
        <v>171</v>
      </c>
      <c r="E24" s="58">
        <f>SUM('Приложение 2'!G127)</f>
        <v>100</v>
      </c>
      <c r="F24" s="58">
        <f>SUM('Приложение 2'!H127)</f>
        <v>0</v>
      </c>
      <c r="G24" s="58">
        <f t="shared" si="0"/>
        <v>0</v>
      </c>
    </row>
    <row r="25" spans="1:7" ht="36" hidden="1">
      <c r="A25" s="44" t="s">
        <v>183</v>
      </c>
      <c r="B25" s="30" t="s">
        <v>13</v>
      </c>
      <c r="C25" s="30" t="s">
        <v>9</v>
      </c>
      <c r="D25" s="30" t="s">
        <v>2</v>
      </c>
      <c r="E25" s="56">
        <f>SUM('Приложение 2'!G128)</f>
        <v>0</v>
      </c>
      <c r="F25" s="56">
        <f>SUM('Приложение 2'!H128)</f>
        <v>0</v>
      </c>
      <c r="G25" s="58">
        <v>0</v>
      </c>
    </row>
    <row r="26" spans="1:7" ht="22.5" customHeight="1">
      <c r="A26" s="44" t="s">
        <v>184</v>
      </c>
      <c r="B26" s="30" t="s">
        <v>13</v>
      </c>
      <c r="C26" s="30" t="s">
        <v>9</v>
      </c>
      <c r="D26" s="30" t="s">
        <v>6</v>
      </c>
      <c r="E26" s="56">
        <f>SUM('Приложение 2'!G130)</f>
        <v>100</v>
      </c>
      <c r="F26" s="56">
        <f>SUM('Приложение 2'!H130)</f>
        <v>0</v>
      </c>
      <c r="G26" s="56">
        <f t="shared" si="0"/>
        <v>0</v>
      </c>
    </row>
    <row r="27" spans="1:7" ht="35.25" customHeight="1" hidden="1">
      <c r="A27" s="44" t="s">
        <v>231</v>
      </c>
      <c r="B27" s="30" t="s">
        <v>13</v>
      </c>
      <c r="C27" s="30" t="s">
        <v>9</v>
      </c>
      <c r="D27" s="30" t="s">
        <v>12</v>
      </c>
      <c r="E27" s="56">
        <f>SUM('Приложение 2'!G129)</f>
        <v>0</v>
      </c>
      <c r="F27" s="56">
        <f>SUM('Приложение 2'!H129)</f>
        <v>0</v>
      </c>
      <c r="G27" s="58" t="e">
        <f t="shared" si="0"/>
        <v>#DIV/0!</v>
      </c>
    </row>
    <row r="28" spans="1:7" ht="38.25" customHeight="1">
      <c r="A28" s="40" t="str">
        <f>'Приложение 2'!A158</f>
        <v>Муниципальная программа "Охрана окружающей среды Алексеевского муниципального района на 2019-2023 годы"</v>
      </c>
      <c r="B28" s="57" t="s">
        <v>15</v>
      </c>
      <c r="C28" s="57" t="s">
        <v>9</v>
      </c>
      <c r="D28" s="57" t="s">
        <v>171</v>
      </c>
      <c r="E28" s="58">
        <f>SUM('Приложение 2'!G158)</f>
        <v>20</v>
      </c>
      <c r="F28" s="58">
        <f>SUM('Приложение 2'!H158)</f>
        <v>0</v>
      </c>
      <c r="G28" s="58">
        <f t="shared" si="0"/>
        <v>0</v>
      </c>
    </row>
    <row r="29" spans="1:7" ht="24">
      <c r="A29" s="44" t="s">
        <v>247</v>
      </c>
      <c r="B29" s="30" t="s">
        <v>15</v>
      </c>
      <c r="C29" s="30" t="s">
        <v>9</v>
      </c>
      <c r="D29" s="30" t="s">
        <v>2</v>
      </c>
      <c r="E29" s="56">
        <f>SUM('Приложение 2'!G158)</f>
        <v>20</v>
      </c>
      <c r="F29" s="56">
        <f>SUM('Приложение 2'!H158)</f>
        <v>0</v>
      </c>
      <c r="G29" s="56">
        <f t="shared" si="0"/>
        <v>0</v>
      </c>
    </row>
    <row r="30" spans="1:7" ht="62.25" customHeight="1">
      <c r="A30" s="40" t="str">
        <f>'Приложение 2'!A235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2023-2028 годы "</v>
      </c>
      <c r="B30" s="57" t="s">
        <v>24</v>
      </c>
      <c r="C30" s="57" t="s">
        <v>9</v>
      </c>
      <c r="D30" s="57" t="s">
        <v>171</v>
      </c>
      <c r="E30" s="58">
        <f>SUM('Приложение 2'!G235+'Приложение 2'!G68)</f>
        <v>70.5</v>
      </c>
      <c r="F30" s="58">
        <f>SUM('Приложение 2'!H235+'Приложение 2'!H68)</f>
        <v>46.5</v>
      </c>
      <c r="G30" s="58">
        <f t="shared" si="0"/>
        <v>65.95744680851064</v>
      </c>
    </row>
    <row r="31" spans="1:7" ht="27.75" customHeight="1">
      <c r="A31" s="40" t="str">
        <f>'Приложение 2'!A236</f>
        <v>Подпрограмма "Комплексные меры по противодействию наркомании"</v>
      </c>
      <c r="B31" s="57" t="s">
        <v>24</v>
      </c>
      <c r="C31" s="57" t="s">
        <v>174</v>
      </c>
      <c r="D31" s="57" t="s">
        <v>171</v>
      </c>
      <c r="E31" s="58">
        <f>SUM('Приложение 2'!G236)</f>
        <v>20</v>
      </c>
      <c r="F31" s="58">
        <f>SUM('Приложение 2'!H236)</f>
        <v>16.5</v>
      </c>
      <c r="G31" s="58">
        <f t="shared" si="0"/>
        <v>82.5</v>
      </c>
    </row>
    <row r="32" spans="1:7" ht="37.5" customHeight="1">
      <c r="A32" s="44" t="s">
        <v>230</v>
      </c>
      <c r="B32" s="30" t="s">
        <v>24</v>
      </c>
      <c r="C32" s="30" t="s">
        <v>174</v>
      </c>
      <c r="D32" s="30" t="s">
        <v>2</v>
      </c>
      <c r="E32" s="56">
        <f>SUM('Приложение 2'!G237)</f>
        <v>20</v>
      </c>
      <c r="F32" s="56">
        <f>SUM('Приложение 2'!H237)</f>
        <v>16.5</v>
      </c>
      <c r="G32" s="56">
        <f t="shared" si="0"/>
        <v>82.5</v>
      </c>
    </row>
    <row r="33" spans="1:7" ht="29.25" customHeight="1" outlineLevel="1">
      <c r="A33" s="40" t="str">
        <f>'Приложение 2'!A238</f>
        <v>Подпрограмма "Реализация мероприятий молодежной политики и социальной адаптации молодежи "</v>
      </c>
      <c r="B33" s="57" t="s">
        <v>24</v>
      </c>
      <c r="C33" s="57" t="s">
        <v>175</v>
      </c>
      <c r="D33" s="57" t="s">
        <v>171</v>
      </c>
      <c r="E33" s="58">
        <f>SUM(E34:E35)</f>
        <v>40.5</v>
      </c>
      <c r="F33" s="58">
        <f>SUM(F34:F35)</f>
        <v>30</v>
      </c>
      <c r="G33" s="58">
        <f t="shared" si="0"/>
        <v>74.07407407407408</v>
      </c>
    </row>
    <row r="34" spans="1:7" ht="30" customHeight="1" outlineLevel="5">
      <c r="A34" s="44" t="s">
        <v>185</v>
      </c>
      <c r="B34" s="30" t="s">
        <v>24</v>
      </c>
      <c r="C34" s="30" t="s">
        <v>175</v>
      </c>
      <c r="D34" s="30" t="s">
        <v>2</v>
      </c>
      <c r="E34" s="56">
        <f>SUM('Приложение 2'!G239)</f>
        <v>30</v>
      </c>
      <c r="F34" s="56">
        <f>SUM('Приложение 2'!H239)</f>
        <v>30</v>
      </c>
      <c r="G34" s="56">
        <f t="shared" si="0"/>
        <v>100</v>
      </c>
    </row>
    <row r="35" spans="1:7" ht="30" customHeight="1" outlineLevel="5">
      <c r="A35" s="44" t="s">
        <v>322</v>
      </c>
      <c r="B35" s="30" t="s">
        <v>24</v>
      </c>
      <c r="C35" s="31">
        <v>2</v>
      </c>
      <c r="D35" s="30" t="s">
        <v>6</v>
      </c>
      <c r="E35" s="56">
        <f>SUM('Приложение 2'!G240+'Приложение 2'!G70)</f>
        <v>10.5</v>
      </c>
      <c r="F35" s="56">
        <f>SUM('Приложение 2'!H240+'Приложение 2'!H70)</f>
        <v>0</v>
      </c>
      <c r="G35" s="56">
        <f t="shared" si="0"/>
        <v>0</v>
      </c>
    </row>
    <row r="36" spans="1:7" ht="34.5" customHeight="1" outlineLevel="5">
      <c r="A36" s="40" t="str">
        <f>'Приложение 2'!A241</f>
        <v>Подпрограмма " Профилактика безнадзорности, правонарушений и неблагополучия несовершеннолетних"</v>
      </c>
      <c r="B36" s="57" t="s">
        <v>24</v>
      </c>
      <c r="C36" s="57" t="s">
        <v>176</v>
      </c>
      <c r="D36" s="57" t="s">
        <v>171</v>
      </c>
      <c r="E36" s="58">
        <f>SUM('Приложение 2'!G241)</f>
        <v>10</v>
      </c>
      <c r="F36" s="58">
        <f>SUM('Приложение 2'!H241)</f>
        <v>0</v>
      </c>
      <c r="G36" s="58">
        <f t="shared" si="0"/>
        <v>0</v>
      </c>
    </row>
    <row r="37" spans="1:7" s="13" customFormat="1" ht="36" outlineLevel="2">
      <c r="A37" s="44" t="s">
        <v>226</v>
      </c>
      <c r="B37" s="30" t="s">
        <v>24</v>
      </c>
      <c r="C37" s="31">
        <v>3</v>
      </c>
      <c r="D37" s="30" t="s">
        <v>2</v>
      </c>
      <c r="E37" s="56">
        <f>SUM('Приложение 2'!G242)</f>
        <v>10</v>
      </c>
      <c r="F37" s="56">
        <f>SUM('Приложение 2'!H242)</f>
        <v>0</v>
      </c>
      <c r="G37" s="56">
        <f t="shared" si="0"/>
        <v>0</v>
      </c>
    </row>
    <row r="38" spans="1:7" s="13" customFormat="1" ht="84" hidden="1" outlineLevel="2">
      <c r="A38" s="40" t="str">
        <f>'Приложение 2'!A256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38" s="57" t="s">
        <v>199</v>
      </c>
      <c r="C38" s="57" t="s">
        <v>9</v>
      </c>
      <c r="D38" s="57" t="s">
        <v>171</v>
      </c>
      <c r="E38" s="58">
        <f>SUM('Приложение 2'!G256)</f>
        <v>0</v>
      </c>
      <c r="F38" s="58">
        <f>SUM('Приложение 2'!H256)</f>
        <v>0</v>
      </c>
      <c r="G38" s="58" t="e">
        <f t="shared" si="0"/>
        <v>#DIV/0!</v>
      </c>
    </row>
    <row r="39" spans="1:7" s="13" customFormat="1" ht="48" hidden="1" outlineLevel="2">
      <c r="A39" s="44" t="s">
        <v>201</v>
      </c>
      <c r="B39" s="30" t="s">
        <v>199</v>
      </c>
      <c r="C39" s="31">
        <v>0</v>
      </c>
      <c r="D39" s="30" t="s">
        <v>2</v>
      </c>
      <c r="E39" s="56">
        <f>SUM('Приложение 2'!G257)</f>
        <v>0</v>
      </c>
      <c r="F39" s="56">
        <f>SUM('Приложение 2'!H257)</f>
        <v>0</v>
      </c>
      <c r="G39" s="58" t="e">
        <f t="shared" si="0"/>
        <v>#DIV/0!</v>
      </c>
    </row>
    <row r="40" spans="1:7" s="13" customFormat="1" ht="40.5" customHeight="1" outlineLevel="2">
      <c r="A40" s="40" t="str">
        <f>'Приложение 2'!A131</f>
        <v>Муниципальная программа "Градостроительная политика на территории Алексеевского муниципального района на 2022–2024 годы"</v>
      </c>
      <c r="B40" s="57" t="s">
        <v>251</v>
      </c>
      <c r="C40" s="59">
        <v>0</v>
      </c>
      <c r="D40" s="57" t="s">
        <v>171</v>
      </c>
      <c r="E40" s="58">
        <f>SUM('Приложение 2'!G131)</f>
        <v>1379.5982</v>
      </c>
      <c r="F40" s="58">
        <f>SUM('Приложение 2'!H131)</f>
        <v>409</v>
      </c>
      <c r="G40" s="58">
        <f t="shared" si="0"/>
        <v>29.646312962716248</v>
      </c>
    </row>
    <row r="41" spans="1:7" s="13" customFormat="1" ht="38.25" customHeight="1" outlineLevel="2">
      <c r="A41" s="44" t="s">
        <v>253</v>
      </c>
      <c r="B41" s="30" t="s">
        <v>251</v>
      </c>
      <c r="C41" s="31">
        <v>0</v>
      </c>
      <c r="D41" s="30" t="s">
        <v>2</v>
      </c>
      <c r="E41" s="56">
        <f>SUM('Приложение 2'!G131-E42)</f>
        <v>1159.5982</v>
      </c>
      <c r="F41" s="56">
        <f>SUM('Приложение 2'!H131-F42)</f>
        <v>189</v>
      </c>
      <c r="G41" s="58">
        <f t="shared" si="0"/>
        <v>16.298748997713176</v>
      </c>
    </row>
    <row r="42" spans="1:7" s="13" customFormat="1" ht="59.25" customHeight="1" outlineLevel="2">
      <c r="A42" s="44" t="s">
        <v>252</v>
      </c>
      <c r="B42" s="30" t="s">
        <v>251</v>
      </c>
      <c r="C42" s="31">
        <v>0</v>
      </c>
      <c r="D42" s="30" t="s">
        <v>6</v>
      </c>
      <c r="E42" s="56">
        <f>SUM('Приложение 2'!G133)</f>
        <v>220</v>
      </c>
      <c r="F42" s="56">
        <f>SUM('Приложение 2'!H133)</f>
        <v>220</v>
      </c>
      <c r="G42" s="58">
        <f t="shared" si="0"/>
        <v>100</v>
      </c>
    </row>
    <row r="43" spans="1:7" s="13" customFormat="1" ht="26.25" customHeight="1" outlineLevel="2">
      <c r="A43" s="44" t="s">
        <v>341</v>
      </c>
      <c r="B43" s="30" t="s">
        <v>251</v>
      </c>
      <c r="C43" s="31">
        <v>0</v>
      </c>
      <c r="D43" s="30" t="s">
        <v>12</v>
      </c>
      <c r="E43" s="56">
        <f>SUM('Приложение 2'!G134)</f>
        <v>599.5982</v>
      </c>
      <c r="F43" s="56">
        <f>SUM('Приложение 2'!H134)</f>
        <v>0</v>
      </c>
      <c r="G43" s="58">
        <f t="shared" si="0"/>
        <v>0</v>
      </c>
    </row>
    <row r="44" spans="1:7" s="13" customFormat="1" ht="48" hidden="1" outlineLevel="2" collapsed="1">
      <c r="A44" s="40" t="str">
        <f>'Приложение 2'!A284</f>
        <v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v>
      </c>
      <c r="B44" s="57" t="s">
        <v>296</v>
      </c>
      <c r="C44" s="57" t="s">
        <v>9</v>
      </c>
      <c r="D44" s="57" t="s">
        <v>171</v>
      </c>
      <c r="E44" s="58">
        <f>SUM('Приложение 2'!G284)</f>
        <v>0</v>
      </c>
      <c r="F44" s="58">
        <f>SUM('Приложение 2'!H284)</f>
        <v>0</v>
      </c>
      <c r="G44" s="58" t="e">
        <f t="shared" si="0"/>
        <v>#DIV/0!</v>
      </c>
    </row>
    <row r="45" spans="1:7" ht="36" hidden="1" outlineLevel="3">
      <c r="A45" s="39" t="s">
        <v>297</v>
      </c>
      <c r="B45" s="30" t="s">
        <v>296</v>
      </c>
      <c r="C45" s="30" t="s">
        <v>9</v>
      </c>
      <c r="D45" s="30" t="s">
        <v>2</v>
      </c>
      <c r="E45" s="56">
        <f>SUM('Приложение 2'!G285)</f>
        <v>0</v>
      </c>
      <c r="F45" s="56">
        <f>SUM('Приложение 2'!H285)</f>
        <v>0</v>
      </c>
      <c r="G45" s="58" t="e">
        <f t="shared" si="0"/>
        <v>#DIV/0!</v>
      </c>
    </row>
    <row r="46" spans="1:7" ht="35.25" customHeight="1">
      <c r="A46" s="40" t="str">
        <f>'Приложение 2'!A267</f>
        <v>Муниципальная программа "Развитие народных художественных промыслов Алексеевского муниципального района на 2019-2023 годы"</v>
      </c>
      <c r="B46" s="57" t="s">
        <v>5</v>
      </c>
      <c r="C46" s="57" t="s">
        <v>9</v>
      </c>
      <c r="D46" s="57" t="s">
        <v>171</v>
      </c>
      <c r="E46" s="58">
        <f>SUM('Приложение 2'!G267)</f>
        <v>20</v>
      </c>
      <c r="F46" s="58">
        <f>SUM('Приложение 2'!H267)</f>
        <v>0</v>
      </c>
      <c r="G46" s="58">
        <f t="shared" si="0"/>
        <v>0</v>
      </c>
    </row>
    <row r="47" spans="1:7" ht="36" customHeight="1">
      <c r="A47" s="44" t="s">
        <v>186</v>
      </c>
      <c r="B47" s="30" t="s">
        <v>5</v>
      </c>
      <c r="C47" s="30" t="s">
        <v>9</v>
      </c>
      <c r="D47" s="30" t="s">
        <v>2</v>
      </c>
      <c r="E47" s="56">
        <f>SUM('Приложение 2'!G268)</f>
        <v>20</v>
      </c>
      <c r="F47" s="56">
        <f>SUM('Приложение 2'!H268)</f>
        <v>0</v>
      </c>
      <c r="G47" s="58">
        <f t="shared" si="0"/>
        <v>0</v>
      </c>
    </row>
    <row r="48" spans="1:7" ht="39" customHeight="1">
      <c r="A48" s="40" t="str">
        <f>'Приложение 2'!A269</f>
        <v>Муниципальная программа "О поддержке деятельности казачьих обществ Алексеевского муниципального района на 2019-2023 годы"</v>
      </c>
      <c r="B48" s="30" t="s">
        <v>4</v>
      </c>
      <c r="C48" s="30" t="s">
        <v>9</v>
      </c>
      <c r="D48" s="30" t="s">
        <v>171</v>
      </c>
      <c r="E48" s="58">
        <f>SUM('Приложение 2'!G269)</f>
        <v>20</v>
      </c>
      <c r="F48" s="58">
        <f>SUM('Приложение 2'!H269)</f>
        <v>0</v>
      </c>
      <c r="G48" s="58">
        <f t="shared" si="0"/>
        <v>0</v>
      </c>
    </row>
    <row r="49" spans="1:7" ht="27" customHeight="1">
      <c r="A49" s="44" t="s">
        <v>187</v>
      </c>
      <c r="B49" s="30" t="s">
        <v>4</v>
      </c>
      <c r="C49" s="30">
        <f>'Приложение 2'!E336</f>
        <v>0</v>
      </c>
      <c r="D49" s="30" t="s">
        <v>2</v>
      </c>
      <c r="E49" s="56">
        <f>SUM('Приложение 2'!G270)</f>
        <v>20</v>
      </c>
      <c r="F49" s="56">
        <f>SUM('Приложение 2'!H270)</f>
        <v>0</v>
      </c>
      <c r="G49" s="58">
        <f t="shared" si="0"/>
        <v>0</v>
      </c>
    </row>
    <row r="50" spans="1:7" ht="74.25" customHeight="1">
      <c r="A50" s="40" t="str">
        <f>'Приложение 2'!A296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50" s="57" t="s">
        <v>7</v>
      </c>
      <c r="C50" s="57">
        <f>'Приложение 2'!E120</f>
        <v>0</v>
      </c>
      <c r="D50" s="57" t="s">
        <v>171</v>
      </c>
      <c r="E50" s="58">
        <f>SUM('Приложение 2'!G296)</f>
        <v>800</v>
      </c>
      <c r="F50" s="58">
        <f>SUM('Приложение 2'!H296)</f>
        <v>352.407</v>
      </c>
      <c r="G50" s="58">
        <f t="shared" si="0"/>
        <v>44.050875</v>
      </c>
    </row>
    <row r="51" spans="1:7" ht="72" customHeight="1">
      <c r="A51" s="44" t="s">
        <v>188</v>
      </c>
      <c r="B51" s="30" t="s">
        <v>7</v>
      </c>
      <c r="C51" s="30" t="s">
        <v>9</v>
      </c>
      <c r="D51" s="30" t="s">
        <v>2</v>
      </c>
      <c r="E51" s="56">
        <f>SUM('Приложение 2'!G297)</f>
        <v>800</v>
      </c>
      <c r="F51" s="56">
        <f>SUM('Приложение 2'!H297)</f>
        <v>352.407</v>
      </c>
      <c r="G51" s="58">
        <f t="shared" si="0"/>
        <v>44.050875</v>
      </c>
    </row>
    <row r="52" spans="1:7" ht="24" customHeight="1">
      <c r="A52" s="40" t="str">
        <f>'Приложение 2'!A71</f>
        <v>Муниципальная программа "Маршрут Победы на 2019-2023 годы"</v>
      </c>
      <c r="B52" s="57" t="s">
        <v>10</v>
      </c>
      <c r="C52" s="57" t="s">
        <v>9</v>
      </c>
      <c r="D52" s="57" t="s">
        <v>171</v>
      </c>
      <c r="E52" s="58">
        <f>SUM('Приложение 2'!G71)</f>
        <v>116.186</v>
      </c>
      <c r="F52" s="58">
        <f>SUM('Приложение 2'!H71)</f>
        <v>100.686</v>
      </c>
      <c r="G52" s="58">
        <f t="shared" si="0"/>
        <v>86.65932212142599</v>
      </c>
    </row>
    <row r="53" spans="1:7" ht="50.25" customHeight="1">
      <c r="A53" s="44" t="s">
        <v>304</v>
      </c>
      <c r="B53" s="30" t="s">
        <v>10</v>
      </c>
      <c r="C53" s="30" t="s">
        <v>9</v>
      </c>
      <c r="D53" s="30" t="s">
        <v>2</v>
      </c>
      <c r="E53" s="56">
        <f>SUM('Приложение 2'!G72+'Приложение 2'!G73)</f>
        <v>116.186</v>
      </c>
      <c r="F53" s="56">
        <f>SUM('Приложение 2'!H72)</f>
        <v>100.686</v>
      </c>
      <c r="G53" s="58">
        <f t="shared" si="0"/>
        <v>86.65932212142599</v>
      </c>
    </row>
    <row r="54" spans="1:7" ht="40.5" customHeight="1">
      <c r="A54" s="43" t="str">
        <f>'Приложение 2'!A335</f>
        <v>Муниципальная программа "Развитие физической культуры и спорта в Алексеевском муниципальном районе на 2019-2023 годы"</v>
      </c>
      <c r="B54" s="57" t="s">
        <v>18</v>
      </c>
      <c r="C54" s="57" t="s">
        <v>9</v>
      </c>
      <c r="D54" s="57" t="s">
        <v>171</v>
      </c>
      <c r="E54" s="58">
        <f>SUM(E55+E56+E57)</f>
        <v>400</v>
      </c>
      <c r="F54" s="58">
        <f>SUM(F55+F56+F57)</f>
        <v>292.8338</v>
      </c>
      <c r="G54" s="58">
        <f t="shared" si="0"/>
        <v>73.20845</v>
      </c>
    </row>
    <row r="55" spans="1:7" ht="47.25" customHeight="1">
      <c r="A55" s="44" t="s">
        <v>189</v>
      </c>
      <c r="B55" s="30" t="s">
        <v>18</v>
      </c>
      <c r="C55" s="30" t="s">
        <v>9</v>
      </c>
      <c r="D55" s="30" t="s">
        <v>2</v>
      </c>
      <c r="E55" s="56">
        <f>SUM('Приложение 2'!G336)</f>
        <v>400</v>
      </c>
      <c r="F55" s="56">
        <f>SUM('Приложение 2'!H336)</f>
        <v>292.8338</v>
      </c>
      <c r="G55" s="58">
        <f t="shared" si="0"/>
        <v>73.20845</v>
      </c>
    </row>
    <row r="56" spans="1:7" ht="0.75" customHeight="1" hidden="1">
      <c r="A56" s="44" t="s">
        <v>303</v>
      </c>
      <c r="B56" s="30" t="s">
        <v>18</v>
      </c>
      <c r="C56" s="30" t="s">
        <v>9</v>
      </c>
      <c r="D56" s="30" t="s">
        <v>12</v>
      </c>
      <c r="E56" s="56">
        <f>SUM('Приложение 2'!G331)</f>
        <v>0</v>
      </c>
      <c r="F56" s="56">
        <f>SUM('Приложение 2'!H331)</f>
        <v>0</v>
      </c>
      <c r="G56" s="58">
        <v>0</v>
      </c>
    </row>
    <row r="57" spans="1:7" ht="72" hidden="1">
      <c r="A57" s="44" t="s">
        <v>267</v>
      </c>
      <c r="B57" s="30" t="s">
        <v>18</v>
      </c>
      <c r="C57" s="30" t="s">
        <v>9</v>
      </c>
      <c r="D57" s="30" t="s">
        <v>266</v>
      </c>
      <c r="E57" s="56">
        <f>SUM('Приложение 2'!G196+'Приложение 2'!G197)</f>
        <v>0</v>
      </c>
      <c r="F57" s="56">
        <f>SUM('Приложение 2'!H196+'Приложение 2'!H197)</f>
        <v>0</v>
      </c>
      <c r="G57" s="58" t="e">
        <f t="shared" si="0"/>
        <v>#DIV/0!</v>
      </c>
    </row>
    <row r="58" spans="1:7" ht="51" customHeight="1">
      <c r="A58" s="43" t="str">
        <f>'Приложение 2'!A119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58" s="57" t="s">
        <v>144</v>
      </c>
      <c r="C58" s="57" t="s">
        <v>9</v>
      </c>
      <c r="D58" s="57" t="s">
        <v>171</v>
      </c>
      <c r="E58" s="58">
        <f>SUM('Приложение 2'!G119)</f>
        <v>24061.30808</v>
      </c>
      <c r="F58" s="58">
        <f>SUM('Приложение 2'!H119)</f>
        <v>15808.611</v>
      </c>
      <c r="G58" s="58">
        <f t="shared" si="0"/>
        <v>65.70137811061186</v>
      </c>
    </row>
    <row r="59" spans="1:7" ht="39.75" customHeight="1">
      <c r="A59" s="44" t="s">
        <v>227</v>
      </c>
      <c r="B59" s="30" t="s">
        <v>144</v>
      </c>
      <c r="C59" s="30" t="s">
        <v>9</v>
      </c>
      <c r="D59" s="30" t="s">
        <v>2</v>
      </c>
      <c r="E59" s="56">
        <f>SUM('Приложение 2'!G119)</f>
        <v>24061.30808</v>
      </c>
      <c r="F59" s="56">
        <f>SUM('Приложение 2'!H119)</f>
        <v>15808.611</v>
      </c>
      <c r="G59" s="58">
        <f t="shared" si="0"/>
        <v>65.70137811061186</v>
      </c>
    </row>
    <row r="60" spans="1:7" ht="49.5" customHeight="1">
      <c r="A60" s="43" t="str">
        <f>'Приложение 2'!A74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60" s="57" t="s">
        <v>146</v>
      </c>
      <c r="C60" s="57" t="s">
        <v>9</v>
      </c>
      <c r="D60" s="57" t="s">
        <v>171</v>
      </c>
      <c r="E60" s="58">
        <f>SUM(E61+E63)</f>
        <v>20</v>
      </c>
      <c r="F60" s="58">
        <f>SUM(F61+F63)</f>
        <v>0</v>
      </c>
      <c r="G60" s="58">
        <f t="shared" si="0"/>
        <v>0</v>
      </c>
    </row>
    <row r="61" spans="1:7" ht="18" customHeight="1">
      <c r="A61" s="43" t="str">
        <f>'Приложение 2'!A75</f>
        <v>Подпрограмма "Профилактика правонарушений"</v>
      </c>
      <c r="B61" s="57" t="s">
        <v>146</v>
      </c>
      <c r="C61" s="57" t="s">
        <v>174</v>
      </c>
      <c r="D61" s="57" t="s">
        <v>171</v>
      </c>
      <c r="E61" s="58">
        <f>SUM('Приложение 2'!G75)</f>
        <v>10</v>
      </c>
      <c r="F61" s="58">
        <f>SUM('Приложение 2'!H75)</f>
        <v>0</v>
      </c>
      <c r="G61" s="58">
        <f t="shared" si="0"/>
        <v>0</v>
      </c>
    </row>
    <row r="62" spans="1:7" ht="30.75" customHeight="1">
      <c r="A62" s="44" t="s">
        <v>254</v>
      </c>
      <c r="B62" s="30" t="s">
        <v>146</v>
      </c>
      <c r="C62" s="30" t="s">
        <v>174</v>
      </c>
      <c r="D62" s="30" t="s">
        <v>2</v>
      </c>
      <c r="E62" s="56">
        <f>SUM('Приложение 2'!G76)</f>
        <v>10</v>
      </c>
      <c r="F62" s="56">
        <f>SUM('Приложение 2'!H76)</f>
        <v>0</v>
      </c>
      <c r="G62" s="58">
        <f t="shared" si="0"/>
        <v>0</v>
      </c>
    </row>
    <row r="63" spans="1:7" ht="24.75" customHeight="1">
      <c r="A63" s="43" t="str">
        <f>'Приложение 2'!A77</f>
        <v>Подпрограмма "Формирование законопослушного поведения участников дорожного движения"</v>
      </c>
      <c r="B63" s="57" t="s">
        <v>146</v>
      </c>
      <c r="C63" s="57" t="s">
        <v>175</v>
      </c>
      <c r="D63" s="57" t="s">
        <v>171</v>
      </c>
      <c r="E63" s="58">
        <f>SUM('Приложение 2'!G77)</f>
        <v>10</v>
      </c>
      <c r="F63" s="58">
        <f>SUM('Приложение 2'!H77)</f>
        <v>0</v>
      </c>
      <c r="G63" s="58">
        <f t="shared" si="0"/>
        <v>0</v>
      </c>
    </row>
    <row r="64" spans="1:7" ht="33" customHeight="1">
      <c r="A64" s="44" t="s">
        <v>250</v>
      </c>
      <c r="B64" s="30" t="s">
        <v>146</v>
      </c>
      <c r="C64" s="30" t="s">
        <v>175</v>
      </c>
      <c r="D64" s="30" t="s">
        <v>2</v>
      </c>
      <c r="E64" s="56">
        <f>SUM('Приложение 2'!G78)</f>
        <v>10</v>
      </c>
      <c r="F64" s="56">
        <f>SUM('Приложение 2'!H78)</f>
        <v>0</v>
      </c>
      <c r="G64" s="58">
        <f t="shared" si="0"/>
        <v>0</v>
      </c>
    </row>
    <row r="65" spans="1:7" ht="39.75" customHeight="1" hidden="1">
      <c r="A65" s="43" t="str">
        <f>'Приложение 2'!A79</f>
        <v>Муниципальная программа "Улучшение условий и охраны труда в Алексеевском муниципальном районе на 2017-2019 годы"</v>
      </c>
      <c r="B65" s="57" t="s">
        <v>213</v>
      </c>
      <c r="C65" s="57" t="s">
        <v>9</v>
      </c>
      <c r="D65" s="57" t="s">
        <v>171</v>
      </c>
      <c r="E65" s="58">
        <f>SUM('Приложение 2'!G79)</f>
        <v>0</v>
      </c>
      <c r="F65" s="58">
        <f>SUM('Приложение 2'!H79)</f>
        <v>0</v>
      </c>
      <c r="G65" s="58" t="e">
        <f t="shared" si="0"/>
        <v>#DIV/0!</v>
      </c>
    </row>
    <row r="66" spans="1:7" ht="63.75" customHeight="1" hidden="1">
      <c r="A66" s="45" t="s">
        <v>212</v>
      </c>
      <c r="B66" s="30" t="s">
        <v>213</v>
      </c>
      <c r="C66" s="30" t="s">
        <v>9</v>
      </c>
      <c r="D66" s="30" t="s">
        <v>2</v>
      </c>
      <c r="E66" s="56">
        <f>SUM('Приложение 2'!G80)</f>
        <v>0</v>
      </c>
      <c r="F66" s="56">
        <f>SUM('Приложение 2'!H80)</f>
        <v>0</v>
      </c>
      <c r="G66" s="58" t="e">
        <f t="shared" si="0"/>
        <v>#DIV/0!</v>
      </c>
    </row>
    <row r="67" spans="1:7" ht="108" customHeight="1">
      <c r="A67" s="43" t="str">
        <f>'Приложение 2'!A169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v>
      </c>
      <c r="B67" s="57" t="s">
        <v>198</v>
      </c>
      <c r="C67" s="57" t="s">
        <v>9</v>
      </c>
      <c r="D67" s="57" t="s">
        <v>171</v>
      </c>
      <c r="E67" s="58">
        <f>SUM(E68:E71)</f>
        <v>1308.22222</v>
      </c>
      <c r="F67" s="58">
        <f>SUM(F68:F71)</f>
        <v>55.76404</v>
      </c>
      <c r="G67" s="58">
        <f t="shared" si="0"/>
        <v>4.262581627760458</v>
      </c>
    </row>
    <row r="68" spans="1:7" ht="73.5" customHeight="1">
      <c r="A68" s="44" t="s">
        <v>228</v>
      </c>
      <c r="B68" s="30" t="s">
        <v>198</v>
      </c>
      <c r="C68" s="30" t="s">
        <v>9</v>
      </c>
      <c r="D68" s="30" t="s">
        <v>2</v>
      </c>
      <c r="E68" s="56">
        <f>SUM('Приложение 2'!G170+'Приложение 2'!G198)-E69-E70-E71</f>
        <v>340.44863999999984</v>
      </c>
      <c r="F68" s="56">
        <f>SUM('Приложение 2'!H170+'Приложение 2'!H198)-F69-F70-F71</f>
        <v>43.98624</v>
      </c>
      <c r="G68" s="58">
        <f t="shared" si="0"/>
        <v>12.920080984902752</v>
      </c>
    </row>
    <row r="69" spans="1:7" ht="62.25" customHeight="1">
      <c r="A69" s="44" t="s">
        <v>272</v>
      </c>
      <c r="B69" s="30" t="s">
        <v>198</v>
      </c>
      <c r="C69" s="30" t="s">
        <v>9</v>
      </c>
      <c r="D69" s="30" t="s">
        <v>6</v>
      </c>
      <c r="E69" s="56">
        <f>946.55136-4.5</f>
        <v>942.05136</v>
      </c>
      <c r="F69" s="56">
        <v>0</v>
      </c>
      <c r="G69" s="58">
        <f t="shared" si="0"/>
        <v>0</v>
      </c>
    </row>
    <row r="70" spans="1:7" ht="14.25" customHeight="1">
      <c r="A70" s="44" t="s">
        <v>299</v>
      </c>
      <c r="B70" s="30" t="s">
        <v>198</v>
      </c>
      <c r="C70" s="30" t="s">
        <v>9</v>
      </c>
      <c r="D70" s="30" t="s">
        <v>12</v>
      </c>
      <c r="E70" s="56">
        <f>13.94442</f>
        <v>13.94442</v>
      </c>
      <c r="F70" s="56">
        <v>0</v>
      </c>
      <c r="G70" s="58">
        <f t="shared" si="0"/>
        <v>0</v>
      </c>
    </row>
    <row r="71" spans="1:7" ht="14.25" customHeight="1">
      <c r="A71" s="44" t="s">
        <v>315</v>
      </c>
      <c r="B71" s="30" t="s">
        <v>198</v>
      </c>
      <c r="C71" s="30" t="s">
        <v>9</v>
      </c>
      <c r="D71" s="30" t="s">
        <v>12</v>
      </c>
      <c r="E71" s="56">
        <f>12.222-0.4442</f>
        <v>11.7778</v>
      </c>
      <c r="F71" s="56">
        <v>11.7778</v>
      </c>
      <c r="G71" s="58">
        <f t="shared" si="0"/>
        <v>100</v>
      </c>
    </row>
    <row r="72" spans="1:7" ht="40.5" customHeight="1">
      <c r="A72" s="43" t="str">
        <f>'Приложение 2'!A81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72" s="57" t="s">
        <v>178</v>
      </c>
      <c r="C72" s="57">
        <f>'Приложение 2'!E138</f>
        <v>0</v>
      </c>
      <c r="D72" s="57" t="s">
        <v>171</v>
      </c>
      <c r="E72" s="58">
        <f>SUM('Приложение 2'!G81)</f>
        <v>10</v>
      </c>
      <c r="F72" s="58">
        <f>SUM('Приложение 2'!H81)</f>
        <v>0</v>
      </c>
      <c r="G72" s="58">
        <f t="shared" si="0"/>
        <v>0</v>
      </c>
    </row>
    <row r="73" spans="1:7" ht="36">
      <c r="A73" s="44" t="s">
        <v>190</v>
      </c>
      <c r="B73" s="30" t="s">
        <v>178</v>
      </c>
      <c r="C73" s="30" t="s">
        <v>9</v>
      </c>
      <c r="D73" s="30" t="s">
        <v>2</v>
      </c>
      <c r="E73" s="56">
        <f>SUM('Приложение 2'!G82)</f>
        <v>10</v>
      </c>
      <c r="F73" s="56">
        <f>SUM('Приложение 2'!H82)</f>
        <v>0</v>
      </c>
      <c r="G73" s="58">
        <f t="shared" si="0"/>
        <v>0</v>
      </c>
    </row>
    <row r="74" spans="1:7" ht="12.75">
      <c r="A74" s="39" t="s">
        <v>96</v>
      </c>
      <c r="B74" s="30"/>
      <c r="C74" s="31"/>
      <c r="D74" s="61"/>
      <c r="E74" s="58">
        <f>SUM(E9+E11+E24+E28+E30+E44+E46+E48+E50+E52+E54+E58+E60+E67+E72+E38+E65+E40+E21)</f>
        <v>72910.6422</v>
      </c>
      <c r="F74" s="58">
        <f>SUM(F9+F11+F24+F28+F30+F44+F46+F48+F50+F52+F54+F58+F60+F67+F72+F38+F65+F40+F21)</f>
        <v>51082.21240999999</v>
      </c>
      <c r="G74" s="58">
        <f t="shared" si="0"/>
        <v>70.06139415131909</v>
      </c>
    </row>
    <row r="75" spans="4:5" ht="15">
      <c r="D75" s="14"/>
      <c r="E75" s="73"/>
    </row>
    <row r="76" ht="15">
      <c r="D76" s="14"/>
    </row>
    <row r="77" spans="1:7" s="11" customFormat="1" ht="15">
      <c r="A77" s="5"/>
      <c r="B77" s="9"/>
      <c r="C77" s="10"/>
      <c r="D77" s="14"/>
      <c r="E77" s="2"/>
      <c r="F77" s="2"/>
      <c r="G77" s="2"/>
    </row>
    <row r="78" spans="1:7" s="11" customFormat="1" ht="15">
      <c r="A78" s="5"/>
      <c r="B78" s="9"/>
      <c r="C78" s="10"/>
      <c r="D78" s="14"/>
      <c r="E78" s="2"/>
      <c r="F78" s="2"/>
      <c r="G78" s="2"/>
    </row>
    <row r="79" ht="15">
      <c r="D79" s="14"/>
    </row>
    <row r="80" ht="15">
      <c r="D80" s="14"/>
    </row>
  </sheetData>
  <sheetProtection/>
  <mergeCells count="6">
    <mergeCell ref="E7:F7"/>
    <mergeCell ref="C1:G1"/>
    <mergeCell ref="C2:G2"/>
    <mergeCell ref="C3:G3"/>
    <mergeCell ref="C4:G4"/>
    <mergeCell ref="A5:G5"/>
  </mergeCells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44"/>
  <sheetViews>
    <sheetView showGridLines="0" zoomScale="110" zoomScaleNormal="110" zoomScalePageLayoutView="0" workbookViewId="0" topLeftCell="A1">
      <pane ySplit="8" topLeftCell="A27" activePane="bottomLeft" state="frozen"/>
      <selection pane="topLeft" activeCell="A1" sqref="A1"/>
      <selection pane="bottomLeft" activeCell="J30" sqref="J30"/>
    </sheetView>
  </sheetViews>
  <sheetFormatPr defaultColWidth="9.140625" defaultRowHeight="12.75" outlineLevelRow="5"/>
  <cols>
    <col min="1" max="1" width="49.57421875" style="5" customWidth="1"/>
    <col min="2" max="2" width="3.8515625" style="9" customWidth="1"/>
    <col min="3" max="3" width="3.8515625" style="10" customWidth="1"/>
    <col min="4" max="4" width="4.421875" style="8" customWidth="1"/>
    <col min="5" max="5" width="11.421875" style="2" customWidth="1"/>
    <col min="6" max="6" width="11.7109375" style="2" customWidth="1"/>
    <col min="7" max="7" width="10.8515625" style="2" bestFit="1" customWidth="1"/>
    <col min="8" max="16384" width="9.140625" style="2" customWidth="1"/>
  </cols>
  <sheetData>
    <row r="1" spans="3:7" ht="16.5">
      <c r="C1" s="108" t="s">
        <v>320</v>
      </c>
      <c r="D1" s="108"/>
      <c r="E1" s="108"/>
      <c r="F1" s="108"/>
      <c r="G1" s="108"/>
    </row>
    <row r="2" spans="3:7" ht="16.5">
      <c r="C2" s="108" t="s">
        <v>120</v>
      </c>
      <c r="D2" s="108"/>
      <c r="E2" s="108"/>
      <c r="F2" s="108"/>
      <c r="G2" s="108"/>
    </row>
    <row r="3" spans="3:7" ht="16.5">
      <c r="C3" s="108" t="s">
        <v>121</v>
      </c>
      <c r="D3" s="108"/>
      <c r="E3" s="108"/>
      <c r="F3" s="108"/>
      <c r="G3" s="108"/>
    </row>
    <row r="4" spans="1:7" ht="21.75" customHeight="1">
      <c r="A4" s="6"/>
      <c r="B4" s="1"/>
      <c r="C4" s="108" t="s">
        <v>147</v>
      </c>
      <c r="D4" s="108"/>
      <c r="E4" s="108"/>
      <c r="F4" s="108"/>
      <c r="G4" s="108"/>
    </row>
    <row r="5" spans="1:7" ht="39.75" customHeight="1">
      <c r="A5" s="103" t="s">
        <v>352</v>
      </c>
      <c r="B5" s="103"/>
      <c r="C5" s="103"/>
      <c r="D5" s="103"/>
      <c r="E5" s="103"/>
      <c r="F5" s="103"/>
      <c r="G5" s="103"/>
    </row>
    <row r="6" spans="1:4" ht="12.75" hidden="1">
      <c r="A6" s="23"/>
      <c r="B6" s="24"/>
      <c r="C6" s="25"/>
      <c r="D6" s="26"/>
    </row>
    <row r="7" spans="1:7" ht="12.75">
      <c r="A7" s="23"/>
      <c r="B7" s="24"/>
      <c r="C7" s="25"/>
      <c r="D7" s="26"/>
      <c r="E7" s="110"/>
      <c r="F7" s="110"/>
      <c r="G7" s="71" t="s">
        <v>271</v>
      </c>
    </row>
    <row r="8" spans="1:7" ht="81" customHeight="1">
      <c r="A8" s="29" t="s">
        <v>1</v>
      </c>
      <c r="B8" s="81" t="s">
        <v>317</v>
      </c>
      <c r="C8" s="74" t="s">
        <v>8</v>
      </c>
      <c r="D8" s="80" t="s">
        <v>162</v>
      </c>
      <c r="E8" s="27" t="s">
        <v>280</v>
      </c>
      <c r="F8" s="27" t="s">
        <v>347</v>
      </c>
      <c r="G8" s="27" t="s">
        <v>346</v>
      </c>
    </row>
    <row r="9" spans="1:7" ht="51" customHeight="1" outlineLevel="5">
      <c r="A9" s="40" t="str">
        <f>'Приложение 2'!A83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v>
      </c>
      <c r="B9" s="57" t="s">
        <v>14</v>
      </c>
      <c r="C9" s="57" t="s">
        <v>9</v>
      </c>
      <c r="D9" s="57"/>
      <c r="E9" s="58">
        <f>SUM(E10)</f>
        <v>43259.18688</v>
      </c>
      <c r="F9" s="58">
        <f>SUM(F10)</f>
        <v>39366.484220000006</v>
      </c>
      <c r="G9" s="58">
        <f>SUM(F9/E9)*100</f>
        <v>91.00144283618121</v>
      </c>
    </row>
    <row r="10" spans="1:7" ht="24.75" customHeight="1" outlineLevel="2">
      <c r="A10" s="39" t="str">
        <f>'Приложение 2'!A84</f>
        <v>Предоставление субсидий бюджетным, автономным учреждениям и иным некоммерческим организациям</v>
      </c>
      <c r="B10" s="30" t="s">
        <v>14</v>
      </c>
      <c r="C10" s="30" t="s">
        <v>9</v>
      </c>
      <c r="D10" s="30" t="s">
        <v>168</v>
      </c>
      <c r="E10" s="56">
        <f>SUM('Приложение 2'!G83+'Приложение 2'!G146)</f>
        <v>43259.18688</v>
      </c>
      <c r="F10" s="56">
        <f>SUM('Приложение 2'!H83+'Приложение 2'!H146)</f>
        <v>39366.484220000006</v>
      </c>
      <c r="G10" s="56">
        <f aca="true" t="shared" si="0" ref="G10:G34">SUM(F10/E10)*100</f>
        <v>91.00144283618121</v>
      </c>
    </row>
    <row r="11" spans="1:7" ht="35.25" customHeight="1" outlineLevel="1">
      <c r="A11" s="40" t="str">
        <f>'Приложение 2'!A171</f>
        <v>Ведомственная целевая программа "Развитие дошкольного образования детей на территории Алексеевского муниципального района на 2022-2024 годы"</v>
      </c>
      <c r="B11" s="57" t="str">
        <f>'Приложение 2'!D171</f>
        <v>52</v>
      </c>
      <c r="C11" s="57">
        <f>'Приложение 2'!E171</f>
        <v>0</v>
      </c>
      <c r="D11" s="57"/>
      <c r="E11" s="58">
        <f>SUM(E12)</f>
        <v>25422.151560000002</v>
      </c>
      <c r="F11" s="58">
        <f>SUM(F12)</f>
        <v>18095.140629999998</v>
      </c>
      <c r="G11" s="58">
        <f t="shared" si="0"/>
        <v>71.17863563708529</v>
      </c>
    </row>
    <row r="12" spans="1:7" ht="27.75" customHeight="1" outlineLevel="1">
      <c r="A12" s="39" t="str">
        <f>'Приложение 2'!A172</f>
        <v>Предоставление субсидий бюджетным, автономным учреждениям и иным некоммерческим организациям</v>
      </c>
      <c r="B12" s="30" t="str">
        <f>'Приложение 2'!D172</f>
        <v>52</v>
      </c>
      <c r="C12" s="30">
        <f>'Приложение 2'!E172</f>
        <v>0</v>
      </c>
      <c r="D12" s="30" t="s">
        <v>168</v>
      </c>
      <c r="E12" s="56">
        <f>SUM('Приложение 2'!G171)</f>
        <v>25422.151560000002</v>
      </c>
      <c r="F12" s="56">
        <f>SUM('Приложение 2'!H171)</f>
        <v>18095.140629999998</v>
      </c>
      <c r="G12" s="56">
        <f t="shared" si="0"/>
        <v>71.17863563708529</v>
      </c>
    </row>
    <row r="13" spans="1:7" ht="36" outlineLevel="5">
      <c r="A13" s="40" t="str">
        <f>'Приложение 2'!A201</f>
        <v>Муниципальная программа "Развитие образования детей на территории Алексеевского муниципального района на 2023-2025 годы"</v>
      </c>
      <c r="B13" s="57" t="str">
        <f>'Приложение 2'!D201</f>
        <v>53</v>
      </c>
      <c r="C13" s="57">
        <f>'Приложение 2'!E201</f>
        <v>0</v>
      </c>
      <c r="D13" s="57"/>
      <c r="E13" s="58">
        <f>SUM(E14+E16+E21)</f>
        <v>241684.57494</v>
      </c>
      <c r="F13" s="58">
        <f>SUM(F14+F16+F21)</f>
        <v>150575.05375999998</v>
      </c>
      <c r="G13" s="58">
        <f t="shared" si="0"/>
        <v>62.302301997296006</v>
      </c>
    </row>
    <row r="14" spans="1:7" ht="13.5" customHeight="1" outlineLevel="5">
      <c r="A14" s="40" t="str">
        <f>'Приложение 2'!A178</f>
        <v>Подпрограмма "Развитие дошкольного образования детей"</v>
      </c>
      <c r="B14" s="57" t="str">
        <f>'Приложение 2'!D202</f>
        <v>53</v>
      </c>
      <c r="C14" s="57" t="s">
        <v>174</v>
      </c>
      <c r="D14" s="57"/>
      <c r="E14" s="58">
        <f>SUM(E15)</f>
        <v>13010</v>
      </c>
      <c r="F14" s="58">
        <f>SUM(F15)</f>
        <v>8579.22184</v>
      </c>
      <c r="G14" s="58">
        <f t="shared" si="0"/>
        <v>65.94328854727132</v>
      </c>
    </row>
    <row r="15" spans="1:7" ht="24" outlineLevel="5">
      <c r="A15" s="39" t="str">
        <f>'Приложение 2'!A181</f>
        <v>Предоставление субсидий бюджетным, автономным учреждениям и иным некоммерческим организациям</v>
      </c>
      <c r="B15" s="30" t="s">
        <v>20</v>
      </c>
      <c r="C15" s="30" t="s">
        <v>174</v>
      </c>
      <c r="D15" s="30" t="s">
        <v>9</v>
      </c>
      <c r="E15" s="56">
        <f>SUM('Приложение 2'!G177)</f>
        <v>13010</v>
      </c>
      <c r="F15" s="56">
        <f>SUM('Приложение 2'!H177)</f>
        <v>8579.22184</v>
      </c>
      <c r="G15" s="56">
        <f t="shared" si="0"/>
        <v>65.94328854727132</v>
      </c>
    </row>
    <row r="16" spans="1:7" ht="15" customHeight="1" outlineLevel="5">
      <c r="A16" s="40" t="str">
        <f>'Приложение 2'!A202</f>
        <v>Подпрограмма "Развитие общего образования детей"</v>
      </c>
      <c r="B16" s="57" t="s">
        <v>20</v>
      </c>
      <c r="C16" s="57" t="s">
        <v>175</v>
      </c>
      <c r="D16" s="57"/>
      <c r="E16" s="58">
        <f>SUM(E17:E20)</f>
        <v>217700.94493</v>
      </c>
      <c r="F16" s="58">
        <f>SUM(F17:F20)</f>
        <v>134077.28884999998</v>
      </c>
      <c r="G16" s="58">
        <f t="shared" si="0"/>
        <v>61.58783044929431</v>
      </c>
    </row>
    <row r="17" spans="1:7" ht="49.5" customHeight="1" outlineLevel="5">
      <c r="A17" s="39" t="str">
        <f>'Приложение 2'!A204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" s="30" t="s">
        <v>20</v>
      </c>
      <c r="C17" s="30" t="s">
        <v>175</v>
      </c>
      <c r="D17" s="30" t="s">
        <v>166</v>
      </c>
      <c r="E17" s="56">
        <f>SUM('Приложение 2'!G204+'Приложение 2'!G212+'Приложение 2'!G213+'Приложение 2'!G214+'Приложение 2'!G250)</f>
        <v>6779.352000000001</v>
      </c>
      <c r="F17" s="56">
        <f>SUM('Приложение 2'!H204+'Приложение 2'!H212+'Приложение 2'!H213+'Приложение 2'!H214+'Приложение 2'!H250)</f>
        <v>3772.14059</v>
      </c>
      <c r="G17" s="56">
        <f t="shared" si="0"/>
        <v>55.64160984707682</v>
      </c>
    </row>
    <row r="18" spans="1:7" ht="26.25" customHeight="1" outlineLevel="5">
      <c r="A18" s="39" t="str">
        <f>'Приложение 2'!A205</f>
        <v>Закупка товаров, работ и услуг для государственных (муниципальных) нужд</v>
      </c>
      <c r="B18" s="30" t="s">
        <v>20</v>
      </c>
      <c r="C18" s="30" t="s">
        <v>175</v>
      </c>
      <c r="D18" s="30" t="s">
        <v>145</v>
      </c>
      <c r="E18" s="56">
        <f>SUM('Приложение 2'!G205+'Приложение 2'!G215+'Приложение 2'!G216+'Приложение 2'!G217+'Приложение 2'!G206)</f>
        <v>854.87377</v>
      </c>
      <c r="F18" s="56">
        <f>SUM('Приложение 2'!H205+'Приложение 2'!H215+'Приложение 2'!H216+'Приложение 2'!H217+'Приложение 2'!H206)</f>
        <v>500.41736000000003</v>
      </c>
      <c r="G18" s="56">
        <f t="shared" si="0"/>
        <v>58.53698844918356</v>
      </c>
    </row>
    <row r="19" spans="1:7" ht="12.75" customHeight="1" outlineLevel="5">
      <c r="A19" s="39" t="str">
        <f>'Приложение 2'!A207</f>
        <v>Иные бюджетные ассигнования</v>
      </c>
      <c r="B19" s="30" t="s">
        <v>20</v>
      </c>
      <c r="C19" s="30" t="s">
        <v>175</v>
      </c>
      <c r="D19" s="30" t="s">
        <v>167</v>
      </c>
      <c r="E19" s="56">
        <f>SUM('Приложение 2'!G207)</f>
        <v>30</v>
      </c>
      <c r="F19" s="56">
        <f>SUM('Приложение 2'!H207)</f>
        <v>19.53637</v>
      </c>
      <c r="G19" s="56">
        <f t="shared" si="0"/>
        <v>65.12123333333334</v>
      </c>
    </row>
    <row r="20" spans="1:7" ht="26.25" customHeight="1" outlineLevel="5">
      <c r="A20" s="39" t="str">
        <f>'Приложение 2'!A208</f>
        <v>Предоставление субсидий бюджетным, автономным учреждениям и иным некоммерческим организациям</v>
      </c>
      <c r="B20" s="30" t="s">
        <v>20</v>
      </c>
      <c r="C20" s="30" t="s">
        <v>175</v>
      </c>
      <c r="D20" s="30" t="s">
        <v>168</v>
      </c>
      <c r="E20" s="56">
        <f>SUM('Приложение 2'!G208+'Приложение 2'!G219+'Приложение 2'!G220+'Приложение 2'!G222+'Приложение 2'!G224+'Приложение 2'!G221+'Приложение 2'!G218+'Приложение 2'!G210+'Приложение 2'!G251+'Приложение 2'!G223+'Приложение 2'!G209)</f>
        <v>210036.71916</v>
      </c>
      <c r="F20" s="56">
        <f>SUM('Приложение 2'!H208+'Приложение 2'!H219+'Приложение 2'!H220+'Приложение 2'!H222+'Приложение 2'!H224+'Приложение 2'!H221+'Приложение 2'!H218+'Приложение 2'!H210+'Приложение 2'!H251+'Приложение 2'!H223+'Приложение 2'!H209)</f>
        <v>129785.19453</v>
      </c>
      <c r="G20" s="56">
        <f t="shared" si="0"/>
        <v>61.79166911816658</v>
      </c>
    </row>
    <row r="21" spans="1:7" ht="18.75" customHeight="1" outlineLevel="3">
      <c r="A21" s="40" t="str">
        <f>'Приложение 2'!A230</f>
        <v>Подпрограмма "Развитие дополнительного образования детей"</v>
      </c>
      <c r="B21" s="57" t="str">
        <f>'Приложение 2'!D229</f>
        <v>53</v>
      </c>
      <c r="C21" s="57" t="s">
        <v>176</v>
      </c>
      <c r="D21" s="57"/>
      <c r="E21" s="58">
        <f>SUM(E22:E23)</f>
        <v>10973.63001</v>
      </c>
      <c r="F21" s="58">
        <f>SUM(F22:F23)</f>
        <v>7918.54307</v>
      </c>
      <c r="G21" s="58">
        <f t="shared" si="0"/>
        <v>72.15974169699567</v>
      </c>
    </row>
    <row r="22" spans="1:7" ht="24.75" customHeight="1" outlineLevel="3">
      <c r="A22" s="39" t="str">
        <f>'Приложение 2'!A231</f>
        <v>Предоставление субсидий бюджетным, автономным учреждениям и иным некоммерческим организациям (ДШИ)</v>
      </c>
      <c r="B22" s="30" t="str">
        <f>'Приложение 2'!D231</f>
        <v>53</v>
      </c>
      <c r="C22" s="30">
        <f>'Приложение 2'!E231</f>
        <v>3</v>
      </c>
      <c r="D22" s="33">
        <f>'Приложение 2'!F231</f>
        <v>600</v>
      </c>
      <c r="E22" s="56">
        <f>'Приложение 2'!G231</f>
        <v>5900</v>
      </c>
      <c r="F22" s="56">
        <f>'Приложение 2'!H231</f>
        <v>3989.27416</v>
      </c>
      <c r="G22" s="56">
        <f t="shared" si="0"/>
        <v>67.61481627118644</v>
      </c>
    </row>
    <row r="23" spans="1:7" ht="23.25" customHeight="1" outlineLevel="3">
      <c r="A23" s="39" t="str">
        <f>'Приложение 2'!A232</f>
        <v>Предоставление субсидий бюджетным, автономным учреждениям и иным некоммерческим организациям (ДЮСШ)</v>
      </c>
      <c r="B23" s="30" t="str">
        <f>'Приложение 2'!D232</f>
        <v>53</v>
      </c>
      <c r="C23" s="30">
        <f>'Приложение 2'!E232</f>
        <v>3</v>
      </c>
      <c r="D23" s="33">
        <f>'Приложение 2'!F232</f>
        <v>600</v>
      </c>
      <c r="E23" s="56">
        <f>'Приложение 2'!G232+'Приложение 2'!G233</f>
        <v>5073.63001</v>
      </c>
      <c r="F23" s="56">
        <f>'Приложение 2'!H232+'Приложение 2'!H233</f>
        <v>3929.2689100000002</v>
      </c>
      <c r="G23" s="56">
        <f t="shared" si="0"/>
        <v>77.44492409291786</v>
      </c>
    </row>
    <row r="24" spans="1:7" ht="36" outlineLevel="3">
      <c r="A24" s="41" t="str">
        <f>'Приложение 2'!A245</f>
        <v>Ведомственная целевая программа "Молодежная политика на территории Алексеевского муниципального района на 2022-2024 годы" (СДЦ)</v>
      </c>
      <c r="B24" s="57" t="str">
        <f>'Приложение 2'!D245</f>
        <v>56</v>
      </c>
      <c r="C24" s="57">
        <f>'Приложение 2'!E245</f>
        <v>0</v>
      </c>
      <c r="D24" s="57"/>
      <c r="E24" s="58">
        <f>SUM(E25)</f>
        <v>4600</v>
      </c>
      <c r="F24" s="58">
        <f>SUM(F25)</f>
        <v>3581.30209</v>
      </c>
      <c r="G24" s="58">
        <f t="shared" si="0"/>
        <v>77.85439326086957</v>
      </c>
    </row>
    <row r="25" spans="1:7" ht="24" outlineLevel="3">
      <c r="A25" s="38" t="str">
        <f>'Приложение 2'!A246</f>
        <v>Предоставление субсидий бюджетным, автономным учреждениям и иным некоммерческим организациям</v>
      </c>
      <c r="B25" s="30" t="str">
        <f>'Приложение 2'!D246</f>
        <v>56</v>
      </c>
      <c r="C25" s="30">
        <f>'Приложение 2'!E246</f>
        <v>0</v>
      </c>
      <c r="D25" s="30">
        <f>'Приложение 2'!F246</f>
        <v>600</v>
      </c>
      <c r="E25" s="56">
        <f>SUM('Приложение 2'!G245)</f>
        <v>4600</v>
      </c>
      <c r="F25" s="56">
        <f>SUM('Приложение 2'!H245)</f>
        <v>3581.30209</v>
      </c>
      <c r="G25" s="56">
        <f t="shared" si="0"/>
        <v>77.85439326086957</v>
      </c>
    </row>
    <row r="26" spans="1:7" ht="48" outlineLevel="3">
      <c r="A26" s="41" t="str">
        <f>'Приложение 2'!A258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2022-2024 годы" </v>
      </c>
      <c r="B26" s="57" t="str">
        <f>'Приложение 2'!D258</f>
        <v>58</v>
      </c>
      <c r="C26" s="57">
        <f>'Приложение 2'!E258</f>
        <v>0</v>
      </c>
      <c r="D26" s="57"/>
      <c r="E26" s="58">
        <f>SUM(E27:E29)</f>
        <v>1650</v>
      </c>
      <c r="F26" s="58">
        <f>SUM(F27:F29)</f>
        <v>1047.8304600000001</v>
      </c>
      <c r="G26" s="58">
        <f t="shared" si="0"/>
        <v>63.50487636363638</v>
      </c>
    </row>
    <row r="27" spans="1:7" ht="48" outlineLevel="3">
      <c r="A27" s="38" t="str">
        <f>'Приложение 2'!A259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30" t="s">
        <v>22</v>
      </c>
      <c r="C27" s="30" t="s">
        <v>9</v>
      </c>
      <c r="D27" s="30" t="s">
        <v>166</v>
      </c>
      <c r="E27" s="56">
        <f>SUM('Приложение 2'!G259)</f>
        <v>1599.99571</v>
      </c>
      <c r="F27" s="56">
        <f>SUM('Приложение 2'!H259)</f>
        <v>1047.82617</v>
      </c>
      <c r="G27" s="56">
        <f t="shared" si="0"/>
        <v>65.4893112182157</v>
      </c>
    </row>
    <row r="28" spans="1:7" ht="24" outlineLevel="3">
      <c r="A28" s="38" t="str">
        <f>'Приложение 2'!A260</f>
        <v>Закупка товаров, работ и услуг для государственных (муниципальных) нужд</v>
      </c>
      <c r="B28" s="30" t="s">
        <v>22</v>
      </c>
      <c r="C28" s="30" t="s">
        <v>9</v>
      </c>
      <c r="D28" s="30" t="s">
        <v>145</v>
      </c>
      <c r="E28" s="56">
        <f>SUM('Приложение 2'!G260)</f>
        <v>50</v>
      </c>
      <c r="F28" s="56">
        <f>SUM('Приложение 2'!H260)</f>
        <v>0</v>
      </c>
      <c r="G28" s="56">
        <f t="shared" si="0"/>
        <v>0</v>
      </c>
    </row>
    <row r="29" spans="1:7" ht="12.75" outlineLevel="3">
      <c r="A29" s="38" t="str">
        <f>'Приложение 2'!A261</f>
        <v>Иные бюджетные ассигнования</v>
      </c>
      <c r="B29" s="30" t="s">
        <v>22</v>
      </c>
      <c r="C29" s="30" t="s">
        <v>9</v>
      </c>
      <c r="D29" s="30" t="s">
        <v>167</v>
      </c>
      <c r="E29" s="56">
        <f>SUM('Приложение 2'!G261)</f>
        <v>0.00429</v>
      </c>
      <c r="F29" s="56">
        <f>SUM('Приложение 2'!H261)</f>
        <v>0.00429</v>
      </c>
      <c r="G29" s="56">
        <f t="shared" si="0"/>
        <v>100</v>
      </c>
    </row>
    <row r="30" spans="1:7" ht="36" outlineLevel="5">
      <c r="A30" s="41" t="str">
        <f>'Приложение 2'!A273</f>
        <v>Ведомственная целевая программа "Развитие культуры и искусства в Алексеевском муниципальном районе на 2022-2024 годы"</v>
      </c>
      <c r="B30" s="57" t="str">
        <f>'Приложение 2'!D273</f>
        <v>59</v>
      </c>
      <c r="C30" s="57">
        <f>'Приложение 2'!E273</f>
        <v>0</v>
      </c>
      <c r="D30" s="57"/>
      <c r="E30" s="58">
        <f>SUM(E31)</f>
        <v>12300</v>
      </c>
      <c r="F30" s="58">
        <f>SUM(F31)</f>
        <v>9713.77204</v>
      </c>
      <c r="G30" s="58">
        <f t="shared" si="0"/>
        <v>78.97375642276423</v>
      </c>
    </row>
    <row r="31" spans="1:7" ht="24" outlineLevel="5">
      <c r="A31" s="38" t="str">
        <f>'Приложение 2'!A275</f>
        <v>Предоставление субсидий бюджетным, автономным учреждениям и иным некоммерческим организациям</v>
      </c>
      <c r="B31" s="30" t="s">
        <v>23</v>
      </c>
      <c r="C31" s="30" t="s">
        <v>9</v>
      </c>
      <c r="D31" s="30" t="s">
        <v>168</v>
      </c>
      <c r="E31" s="56">
        <f>SUM('Приложение 2'!G273)</f>
        <v>12300</v>
      </c>
      <c r="F31" s="56">
        <f>SUM('Приложение 2'!H273)</f>
        <v>9713.77204</v>
      </c>
      <c r="G31" s="56">
        <f t="shared" si="0"/>
        <v>78.97375642276423</v>
      </c>
    </row>
    <row r="32" spans="1:7" ht="36">
      <c r="A32" s="40" t="str">
        <f>'Приложение 2'!A339</f>
        <v>Ведомственная целевая программа "Поддержка средств массовой информации в Алексеевском муниципальном районе на 2022-2024 годы"</v>
      </c>
      <c r="B32" s="57" t="str">
        <f>'Приложение 2'!D339</f>
        <v>61</v>
      </c>
      <c r="C32" s="57">
        <f>'Приложение 2'!E339</f>
        <v>0</v>
      </c>
      <c r="D32" s="57"/>
      <c r="E32" s="58">
        <f>SUM(E33)</f>
        <v>2147.7</v>
      </c>
      <c r="F32" s="58">
        <f>SUM(F33)</f>
        <v>1847.7</v>
      </c>
      <c r="G32" s="58">
        <f t="shared" si="0"/>
        <v>86.03156865484007</v>
      </c>
    </row>
    <row r="33" spans="1:7" ht="24">
      <c r="A33" s="39" t="str">
        <f>'Приложение 2'!A340</f>
        <v>Предоставление субсидий бюджетным, автономным учреждениям и иным некоммерческим организациям</v>
      </c>
      <c r="B33" s="30" t="str">
        <f>'Приложение 2'!D340</f>
        <v>61</v>
      </c>
      <c r="C33" s="30">
        <f>'Приложение 2'!E340</f>
        <v>0</v>
      </c>
      <c r="D33" s="30">
        <f>'Приложение 2'!F340</f>
        <v>600</v>
      </c>
      <c r="E33" s="56">
        <f>'Приложение 2'!G339</f>
        <v>2147.7</v>
      </c>
      <c r="F33" s="56">
        <f>'Приложение 2'!H339</f>
        <v>1847.7</v>
      </c>
      <c r="G33" s="56">
        <f t="shared" si="0"/>
        <v>86.03156865484007</v>
      </c>
    </row>
    <row r="34" spans="1:7" ht="12.75">
      <c r="A34" s="40" t="s">
        <v>96</v>
      </c>
      <c r="B34" s="57"/>
      <c r="C34" s="59"/>
      <c r="D34" s="60"/>
      <c r="E34" s="58">
        <f>SUM(E9+E11+E13+E24+E26+E30+E32)</f>
        <v>331063.61338</v>
      </c>
      <c r="F34" s="58">
        <f>SUM(F9+F11+F13+F24+F26+F30+F32)</f>
        <v>224227.28320000003</v>
      </c>
      <c r="G34" s="58">
        <f t="shared" si="0"/>
        <v>67.72936503373099</v>
      </c>
    </row>
    <row r="35" ht="15">
      <c r="D35" s="14"/>
    </row>
    <row r="36" ht="15">
      <c r="D36" s="14"/>
    </row>
    <row r="37" ht="15">
      <c r="D37" s="14"/>
    </row>
    <row r="38" ht="15">
      <c r="D38" s="14"/>
    </row>
    <row r="39" ht="15">
      <c r="D39" s="14"/>
    </row>
    <row r="40" ht="15">
      <c r="D40" s="14"/>
    </row>
    <row r="41" ht="15">
      <c r="D41" s="14"/>
    </row>
    <row r="42" ht="15">
      <c r="D42" s="14"/>
    </row>
    <row r="43" spans="1:7" s="11" customFormat="1" ht="15">
      <c r="A43" s="5"/>
      <c r="B43" s="9"/>
      <c r="C43" s="10"/>
      <c r="D43" s="14"/>
      <c r="E43" s="2"/>
      <c r="F43" s="2"/>
      <c r="G43" s="2"/>
    </row>
    <row r="44" spans="1:7" s="11" customFormat="1" ht="15">
      <c r="A44" s="5"/>
      <c r="B44" s="9"/>
      <c r="C44" s="10"/>
      <c r="D44" s="14"/>
      <c r="E44" s="2"/>
      <c r="F44" s="2"/>
      <c r="G44" s="2"/>
    </row>
  </sheetData>
  <sheetProtection/>
  <mergeCells count="6">
    <mergeCell ref="E7:F7"/>
    <mergeCell ref="C1:G1"/>
    <mergeCell ref="C2:G2"/>
    <mergeCell ref="C3:G3"/>
    <mergeCell ref="C4:G4"/>
    <mergeCell ref="A5:G5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Елена Владимировна Деткова</cp:lastModifiedBy>
  <cp:lastPrinted>2023-01-20T11:45:44Z</cp:lastPrinted>
  <dcterms:created xsi:type="dcterms:W3CDTF">2002-03-11T10:22:12Z</dcterms:created>
  <dcterms:modified xsi:type="dcterms:W3CDTF">2023-10-11T10:24:59Z</dcterms:modified>
  <cp:category/>
  <cp:version/>
  <cp:contentType/>
  <cp:contentStatus/>
</cp:coreProperties>
</file>