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firstSheet="3" activeTab="3"/>
  </bookViews>
  <sheets>
    <sheet name="Таблица №10" sheetId="1" state="hidden" r:id="rId1"/>
    <sheet name="Таблица №8" sheetId="2" state="hidden" r:id="rId2"/>
    <sheet name="Таблица №7" sheetId="3" state="hidden" r:id="rId3"/>
    <sheet name="Приложение 12" sheetId="4" r:id="rId4"/>
    <sheet name="Таблица №13" sheetId="5" state="hidden" r:id="rId5"/>
    <sheet name="Бюджет" sheetId="6" state="hidden" r:id="rId6"/>
  </sheets>
  <externalReferences>
    <externalReference r:id="rId9"/>
  </externalReferences>
  <definedNames>
    <definedName name="APPT" localSheetId="5">'Бюджет'!#REF!</definedName>
    <definedName name="APPT" localSheetId="3">'Приложение 12'!#REF!</definedName>
    <definedName name="APPT" localSheetId="0">'Таблица №10'!#REF!</definedName>
    <definedName name="APPT" localSheetId="4">'Таблица №13'!#REF!</definedName>
    <definedName name="APPT" localSheetId="1">'Таблица №8'!#REF!</definedName>
    <definedName name="FIO" localSheetId="5">'Бюджет'!#REF!</definedName>
    <definedName name="FIO" localSheetId="3">'Приложение 12'!#REF!</definedName>
    <definedName name="FIO" localSheetId="0">'Таблица №10'!#REF!</definedName>
    <definedName name="FIO" localSheetId="4">'Таблица №13'!#REF!</definedName>
    <definedName name="FIO" localSheetId="1">'Таблица №8'!#REF!</definedName>
    <definedName name="LAST_CELL" localSheetId="5">'Бюджет'!#REF!</definedName>
    <definedName name="SIGN" localSheetId="5">'Бюджет'!#REF!</definedName>
    <definedName name="SIGN" localSheetId="3">'Приложение 12'!#REF!</definedName>
    <definedName name="SIGN" localSheetId="0">'Таблица №10'!$A$22:$E$23</definedName>
    <definedName name="SIGN" localSheetId="4">'Таблица №13'!#REF!</definedName>
    <definedName name="SIGN" localSheetId="1">'Таблица №8'!#REF!</definedName>
  </definedNames>
  <calcPr fullCalcOnLoad="1"/>
</workbook>
</file>

<file path=xl/sharedStrings.xml><?xml version="1.0" encoding="utf-8"?>
<sst xmlns="http://schemas.openxmlformats.org/spreadsheetml/2006/main" count="1841" uniqueCount="445">
  <si>
    <t/>
  </si>
  <si>
    <t>Наименование кода</t>
  </si>
  <si>
    <t>01</t>
  </si>
  <si>
    <t>Центральный аппарат</t>
  </si>
  <si>
    <t>13</t>
  </si>
  <si>
    <t>12</t>
  </si>
  <si>
    <t>02</t>
  </si>
  <si>
    <t>14</t>
  </si>
  <si>
    <t>Подпрограмма</t>
  </si>
  <si>
    <t>0</t>
  </si>
  <si>
    <t>15</t>
  </si>
  <si>
    <t>90</t>
  </si>
  <si>
    <t>03</t>
  </si>
  <si>
    <t>04</t>
  </si>
  <si>
    <t>51</t>
  </si>
  <si>
    <t>05</t>
  </si>
  <si>
    <t>99</t>
  </si>
  <si>
    <t>Мероприятия по обеспечению мобилизационной готовности экономики</t>
  </si>
  <si>
    <t>17</t>
  </si>
  <si>
    <t>52</t>
  </si>
  <si>
    <t>53</t>
  </si>
  <si>
    <t>56</t>
  </si>
  <si>
    <t>58</t>
  </si>
  <si>
    <t>59</t>
  </si>
  <si>
    <t>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</si>
  <si>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</si>
  <si>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Алексеевская районная Дума</t>
  </si>
  <si>
    <t>901</t>
  </si>
  <si>
    <t>0103</t>
  </si>
  <si>
    <t>0113</t>
  </si>
  <si>
    <t>931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</si>
  <si>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</si>
  <si>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</si>
  <si>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</si>
  <si>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</si>
  <si>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</si>
  <si>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</si>
  <si>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Проведение выборов и референдумов</t>
  </si>
  <si>
    <t>Резервные фонды</t>
  </si>
  <si>
    <t>902</t>
  </si>
  <si>
    <t>0104</t>
  </si>
  <si>
    <t>0100</t>
  </si>
  <si>
    <t>0102</t>
  </si>
  <si>
    <t>0105</t>
  </si>
  <si>
    <t>0107</t>
  </si>
  <si>
    <t>0111</t>
  </si>
  <si>
    <t>Другие общегосударственные вопросы</t>
  </si>
  <si>
    <t>Условно утвержденные расходы</t>
  </si>
  <si>
    <t xml:space="preserve">Национальная оборона </t>
  </si>
  <si>
    <t>Мобилизационная подготовка экономики</t>
  </si>
  <si>
    <t>0204</t>
  </si>
  <si>
    <t>0309</t>
  </si>
  <si>
    <t>0409</t>
  </si>
  <si>
    <t>0412</t>
  </si>
  <si>
    <t>Коммунальное хозяйство</t>
  </si>
  <si>
    <t>Жилищно-коммунальное хозяйство</t>
  </si>
  <si>
    <t>0500</t>
  </si>
  <si>
    <t>0502</t>
  </si>
  <si>
    <t>Охрана окружающей среды</t>
  </si>
  <si>
    <t>0400</t>
  </si>
  <si>
    <t>0605</t>
  </si>
  <si>
    <t>Образование</t>
  </si>
  <si>
    <t>Дошкольное образование</t>
  </si>
  <si>
    <t>0701</t>
  </si>
  <si>
    <t>0700</t>
  </si>
  <si>
    <t>0702</t>
  </si>
  <si>
    <t>Школы-детские сады, школы начальные, неполные средние и средние</t>
  </si>
  <si>
    <t>За счет средств областного бюджета на образовательный процесс</t>
  </si>
  <si>
    <t>За счет средств областного бюджета на питание</t>
  </si>
  <si>
    <t>За счет средств бюджета муниципального района</t>
  </si>
  <si>
    <t>Общее образование</t>
  </si>
  <si>
    <t>0707</t>
  </si>
  <si>
    <t>Другие вопросы в области образования</t>
  </si>
  <si>
    <t>0709</t>
  </si>
  <si>
    <t xml:space="preserve">Культура, кинематография </t>
  </si>
  <si>
    <t>Дворцы и дома культуры, другие учреждения культуры</t>
  </si>
  <si>
    <t>Музей</t>
  </si>
  <si>
    <t>Библиотеки</t>
  </si>
  <si>
    <t>Кинематография</t>
  </si>
  <si>
    <t xml:space="preserve">Другие вопросы в области культуры, кинематографии </t>
  </si>
  <si>
    <t>0801</t>
  </si>
  <si>
    <t>0802</t>
  </si>
  <si>
    <t>0804</t>
  </si>
  <si>
    <t>Социальная политика</t>
  </si>
  <si>
    <t>Пенсионное обеспечение</t>
  </si>
  <si>
    <t>Доплаты к пенсии государственных служащих субъектов Российской Федерации и муниципальных служащих</t>
  </si>
  <si>
    <t>1001</t>
  </si>
  <si>
    <t>Социальное обеспечение населения</t>
  </si>
  <si>
    <t>Охрана семьи и детства</t>
  </si>
  <si>
    <t>1003</t>
  </si>
  <si>
    <t>1004</t>
  </si>
  <si>
    <t>Физическая культура и спорт</t>
  </si>
  <si>
    <t>1105</t>
  </si>
  <si>
    <t xml:space="preserve">Средства массовой информации </t>
  </si>
  <si>
    <t>Периодическая печать и издательство</t>
  </si>
  <si>
    <t>1202</t>
  </si>
  <si>
    <t>1301</t>
  </si>
  <si>
    <t xml:space="preserve">Всего 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</si>
  <si>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</si>
  <si>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</si>
  <si>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</si>
  <si>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Непрограммные направления обеспечения деятельности органов местного самоуправления Алексеевского муниципального района</t>
  </si>
  <si>
    <t>За счет субвенции на организационное обеспечение деятельности территориальных административных комиссий</t>
  </si>
  <si>
    <t>За счет субвенции на организацию и осуществление деятельности по опеке и попечительству</t>
  </si>
  <si>
    <t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</si>
  <si>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</si>
  <si>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t>
  </si>
  <si>
    <t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t>
  </si>
  <si>
    <t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t>
  </si>
  <si>
    <t>на выплату пособий по опеке и попечительству</t>
  </si>
  <si>
    <t xml:space="preserve">на вознаграждение за труд, причитающегося приемным родителям (патронатному воспитателю), и предоставление им мер социальной поддержки </t>
  </si>
  <si>
    <t>0200</t>
  </si>
  <si>
    <t>0300</t>
  </si>
  <si>
    <t>0600</t>
  </si>
  <si>
    <t>0800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</si>
  <si>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</si>
  <si>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</si>
  <si>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</si>
  <si>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</si>
  <si>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</si>
  <si>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№8</t>
  </si>
  <si>
    <t xml:space="preserve"> приложения №1 Решения</t>
  </si>
  <si>
    <t xml:space="preserve"> Алексеевской  районной Думы</t>
  </si>
  <si>
    <t xml:space="preserve">                                                                                                      </t>
  </si>
  <si>
    <t>Код</t>
  </si>
  <si>
    <t>Наименование</t>
  </si>
  <si>
    <t>Общегосударственные вопросы</t>
  </si>
  <si>
    <t>Функционирование высшего должностного лица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</si>
  <si>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</si>
  <si>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Резервный фонд</t>
  </si>
  <si>
    <t>Национальная оборона</t>
  </si>
  <si>
    <t>Жилищно – коммунальное хозяйство</t>
  </si>
  <si>
    <t>0503</t>
  </si>
  <si>
    <t>Благоустройство</t>
  </si>
  <si>
    <t>Культура, кинематография</t>
  </si>
  <si>
    <t>1100</t>
  </si>
  <si>
    <t>1200</t>
  </si>
  <si>
    <t>1300</t>
  </si>
  <si>
    <t>Итого</t>
  </si>
  <si>
    <t>61</t>
  </si>
  <si>
    <t>к приложению № 1 Решения</t>
  </si>
  <si>
    <t>Алексеевской районной Думы</t>
  </si>
  <si>
    <t>Иные бюджетные ассигнования</t>
  </si>
  <si>
    <t>Сельское хозяйство и рыболовство</t>
  </si>
  <si>
    <t>0405</t>
  </si>
  <si>
    <t>000</t>
  </si>
  <si>
    <t>деф</t>
  </si>
  <si>
    <t>собст</t>
  </si>
  <si>
    <t>За счет средств областного бюджета на осуществление образовательного процесса муниципальными дошкольными образовательными организациями</t>
  </si>
  <si>
    <t>18</t>
  </si>
  <si>
    <t>200</t>
  </si>
  <si>
    <t>20</t>
  </si>
  <si>
    <t>от "__"_____________№________</t>
  </si>
  <si>
    <t>от "__"_______________№________</t>
  </si>
  <si>
    <t>загс</t>
  </si>
  <si>
    <t>питание</t>
  </si>
  <si>
    <t>архив</t>
  </si>
  <si>
    <t>опека</t>
  </si>
  <si>
    <t>труд прием родит</t>
  </si>
  <si>
    <t>коммун</t>
  </si>
  <si>
    <t>ком культ</t>
  </si>
  <si>
    <t>ком биб</t>
  </si>
  <si>
    <t>вып дох</t>
  </si>
  <si>
    <t>ком педраб</t>
  </si>
  <si>
    <t>ком несовер</t>
  </si>
  <si>
    <t>ком админ</t>
  </si>
  <si>
    <t>борьба с болез</t>
  </si>
  <si>
    <t>компенс род платы</t>
  </si>
  <si>
    <t>ком опека и попеч</t>
  </si>
  <si>
    <t>Всего расходы</t>
  </si>
  <si>
    <t>Группа вида рас-ходов</t>
  </si>
  <si>
    <t>Непрограммные расходы органов местного самоуправления Алексеевского муниципального района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</si>
  <si>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</si>
  <si>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</si>
  <si>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</si>
  <si>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Капитальные вложения в объекты государственной (муниципальной) собственности</t>
  </si>
  <si>
    <t>За счет средств на расходы на осуществление социальных гарантий молодым специалистам</t>
  </si>
  <si>
    <t xml:space="preserve">За счет средств областного бюджета </t>
  </si>
  <si>
    <t>Подпрограмма "Комплексные меры по противодействию наркомании"</t>
  </si>
  <si>
    <t>Подпрограмма "Реализация мероприятий молодежной политики и социальной адаптации молодежи "</t>
  </si>
  <si>
    <t>Организация отдыха детей в лагерях дневного пребывания</t>
  </si>
  <si>
    <t>Субсидия на организацию отдыха детей в каникулярный период в лагерях дневного пребывания на базе муниципальных образовательных организаций</t>
  </si>
  <si>
    <t>1000</t>
  </si>
  <si>
    <t>Группа вида расходов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</si>
  <si>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</si>
  <si>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</si>
  <si>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</si>
  <si>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</si>
  <si>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100</t>
  </si>
  <si>
    <t>800</t>
  </si>
  <si>
    <t>600</t>
  </si>
  <si>
    <t>Основное мероприятие</t>
  </si>
  <si>
    <t xml:space="preserve">Программа </t>
  </si>
  <si>
    <t>00</t>
  </si>
  <si>
    <t>Ведомство</t>
  </si>
  <si>
    <t>Раздел</t>
  </si>
  <si>
    <t>1</t>
  </si>
  <si>
    <t>2</t>
  </si>
  <si>
    <t>3</t>
  </si>
  <si>
    <t>Основное мероприятие "Развитие муниципальной службы"</t>
  </si>
  <si>
    <t>23</t>
  </si>
  <si>
    <t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t>
  </si>
  <si>
    <t>Подпрограмма "Энергосбережение и повышение энергетической эффективности Алексеевского муниципального района"</t>
  </si>
  <si>
    <t>Основное мероприятие "Мероприятия в области жилищно- коммунального хозяйства"</t>
  </si>
  <si>
    <t>4</t>
  </si>
  <si>
    <t>Основное мероприятие "Нормативно-правовое обеспечение и развитие инфраструктуры поддержки субъектов малого предпринимательства"</t>
  </si>
  <si>
    <t>Основное мероприятие "Финансовая поддержка субъектов малого предпринимательства в виде субсидирования"</t>
  </si>
  <si>
    <t>Основное мероприятие "Мероприятия молодежной политики и социальной адаптации молодежи"</t>
  </si>
  <si>
    <t>Основное мероприятие "Обеспечение благоприятных условий для расширения производства изделий народных художественных промыслов в Алексеевском районе"</t>
  </si>
  <si>
    <t>Основное мероприятие "Мероприятия в области развития и возрождения казачества"</t>
  </si>
  <si>
    <t>Основное мероприятие "Предоставление субсидии из бюджета муниципального образования на погашение процентных платежей по кредиту, полученному в кредитной организации на строительство (приобретение) жилья, а также в возмещении части арендной платы за жилье молодым специалистам, работающим в Алексеевском муниципальном районе"</t>
  </si>
  <si>
    <t>Основное мероприятие "Развитие физической культуры и спорта среди дошкольных, общеобразовательных учреждений и взрослого населения на территории Алексеевского муниципального района "</t>
  </si>
  <si>
    <t>Основное мероприятие "Повышение эффективности работы по предупреждению проявления экстремизма и терроризма"</t>
  </si>
  <si>
    <t>Телевидение и радиовещание</t>
  </si>
  <si>
    <t>1201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</si>
  <si>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</si>
  <si>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t>
  </si>
  <si>
    <t>Основное мероприятие "Мероприятия по ремонту объектов муниципальной собственности"</t>
  </si>
  <si>
    <t>Подпрограмма «Строительство, реконструкция и ремонт объектов муниципальной собственности Алексеевского муниципального района»</t>
  </si>
  <si>
    <t>Подпрограмма "Строительство, реконструкция и ремонт объектов муниципальной собственности Алексеевского муниципального района"</t>
  </si>
  <si>
    <t>22</t>
  </si>
  <si>
    <t>08</t>
  </si>
  <si>
    <t>300</t>
  </si>
  <si>
    <t>Основное мероприятие "Повышение профессионального мастерства учителей и воспитателей, совершенствование учебно-материальной базы и методического обеспечения образовательных учреждений "</t>
  </si>
  <si>
    <t>образ процесс школы</t>
  </si>
  <si>
    <t>образ процесс сады</t>
  </si>
  <si>
    <t>субсидии</t>
  </si>
  <si>
    <t>Дополнительное образование детей</t>
  </si>
  <si>
    <t>0703</t>
  </si>
  <si>
    <t>Основное мероприятие "Мероприятия в области строительства, реконструкции объектов муниципальной собственности"</t>
  </si>
  <si>
    <t>Здравоохранение</t>
  </si>
  <si>
    <t>0900</t>
  </si>
  <si>
    <t>Амбулаторная помощь</t>
  </si>
  <si>
    <t>0902</t>
  </si>
  <si>
    <t>1101</t>
  </si>
  <si>
    <t>Другие вопросы в области физической культуры и спорта</t>
  </si>
  <si>
    <t>Основное мероприятие "Мероприятия по подготовке к отопительному сезону объектов социальной сферы"</t>
  </si>
  <si>
    <t>Основное мероприятие "Информирование, консультирование и оказание правовой помощи работникам и работодателям по вопросам охраны труда, пропаганда и популяризация мер по охране труда"</t>
  </si>
  <si>
    <t>21</t>
  </si>
  <si>
    <t>Муниципальная программа "Улучшение условий и охраны труда в Алексеевском муниципальном районе на 2017-2019 годы"</t>
  </si>
  <si>
    <t>Муниципальная программа и непрограммное направление</t>
  </si>
  <si>
    <t>лет лагеря</t>
  </si>
  <si>
    <t>субсидия пос</t>
  </si>
  <si>
    <t>присяжные</t>
  </si>
  <si>
    <t>обр дошкол</t>
  </si>
  <si>
    <t>Таблица №13</t>
  </si>
  <si>
    <t>1006</t>
  </si>
  <si>
    <t>Другие вопросы в области социальной политики</t>
  </si>
  <si>
    <t>прихоперье</t>
  </si>
  <si>
    <t>За счет субвенции на создание, исполнение функций и обеспечение деятельности муниципальных комиссий по делам несовершеннолетних и защите их прав</t>
  </si>
  <si>
    <t>Реализация государственных функций, связанных с общегосударственным управлением</t>
  </si>
  <si>
    <t>Оценка недвижимости, признание прав и регулирование отношений по муниципальной собственности</t>
  </si>
  <si>
    <t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t>
  </si>
  <si>
    <t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t>
  </si>
  <si>
    <t>Подпрограмма " Профилактика безнадзорности, правонарушений и неблагополучия несовершеннолетних"</t>
  </si>
  <si>
    <t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</si>
  <si>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Государственная регистрация актов гражданского состояния</t>
  </si>
  <si>
    <t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t>
  </si>
  <si>
    <t>Основное мероприятие " Мероприятия, направленные на профилактику безнадзорности и правонарушений несовершеннолетних"</t>
  </si>
  <si>
    <t>Основное мероприятие " Мероприятия, направленные на стабилизацию обстановки в семье, оказавшейся в социально опасном положении"</t>
  </si>
  <si>
    <t>Основное мероприятие " Мероприятия, направленные на формирование среды, доброжелательной к детям"</t>
  </si>
  <si>
    <t>Основное мероприятие "Мероприятия по строительству, реконструкции, ремонту и проектированию автомобильных дорог общего пользования местного значения"</t>
  </si>
  <si>
    <t>Основное мероприятие "Проведении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общеобразовательных организаций и дошкольных образовательных организаций Алексеевского муниципального района "</t>
  </si>
  <si>
    <t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t>
  </si>
  <si>
    <t>Администрация Алексеевского муниципального района</t>
  </si>
  <si>
    <t>Основное мероприятие "Профилактические мероприятия, направленные на борьбу с наркоманией и распространением наркотиков"</t>
  </si>
  <si>
    <t>Основное мероприятие "Финансовая поддержка молодежи, имеющей способности к ведению предпринимательской деятельности в виде денежных грантов"</t>
  </si>
  <si>
    <t>мол спец</t>
  </si>
  <si>
    <t xml:space="preserve"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t>
  </si>
  <si>
    <t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t>
  </si>
  <si>
    <t>субсидия допобразование</t>
  </si>
  <si>
    <t>субсидия ДФ</t>
  </si>
  <si>
    <t>Муниципальная программа "Охрана окружающей среды Алексеевского муниципального района на 2019-2023 годы"</t>
  </si>
  <si>
    <t>Муниципальная программа "Развитие физической культуры и спорта в Алексеевском муниципальном районе на 2019-2023 годы"</t>
  </si>
  <si>
    <t>Муниципальная программа "Маршрут Победы на 2019-2023 годы"</t>
  </si>
  <si>
    <t>Муниципальная программа "Развитие и поддержка малого предпринимательства Алексеевского муниципального района на 2019-2023 годы "</t>
  </si>
  <si>
    <t>Муниципальная программа "О поддержке деятельности казачьих обществ Алексеевского муниципального района на 2019-2023 годы"</t>
  </si>
  <si>
    <t>Муниципальная программа "Развитие муниципальной службы в администрации Алексеевского муниципального района Волгоградской области на 2019-2023 годы"</t>
  </si>
  <si>
    <t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t>
  </si>
  <si>
    <t>Муниципальная программа "Профилактика терроризма и экстремизма на территории Алексеевского муниципального района на 2019-2023 годы"</t>
  </si>
  <si>
    <t>Муниципальная программа "Молодой семье – доступное жилье на территории Алексеевского муниципального района на 2019-2020 годы"</t>
  </si>
  <si>
    <t>11</t>
  </si>
  <si>
    <t>условно-утвержденные</t>
  </si>
  <si>
    <t>Муниципальная программа "Инвестиционная программа по жилищно-коммунальному хозяйству Алексеевского муниципального района на 2019-2021 годы"</t>
  </si>
  <si>
    <t>Муниципальная программа "Развитие народных художественных промыслов Алексеевского муниципального района на 2019-2023 годы"</t>
  </si>
  <si>
    <t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t>
  </si>
  <si>
    <t>Основное мероприятие "Строительство контейнерных площадок для сбора твердых коммунальных отходов"</t>
  </si>
  <si>
    <t>Подпрограмма "Профилактика правонарушений"</t>
  </si>
  <si>
    <t>Подпрограмма "Формирование законопослушного поведения участников дорожного движения"</t>
  </si>
  <si>
    <t>Основное мероприятие "Проведение работ по обеспечению безопасности дорожного движения в границах Алексеевского муниципального района"</t>
  </si>
  <si>
    <t>09</t>
  </si>
  <si>
    <t>Основное мероприятие "Описание границ населённых пунктов Алексеевского муниципального района и границы поселении в координатах характерных точек, внесение сведений о границах в государственный кадастр недвижимости путем передачи полномочий из муниципального района сельским поселениям "</t>
  </si>
  <si>
    <t>Основное мероприятие "Мероприятия в области строительства, архитектуры, градостроения, землеустройства и землепользования "</t>
  </si>
  <si>
    <t>Основное мероприятие "Мероприятия общепрофилактической направленности"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</si>
  <si>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</si>
  <si>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Межбюджетные трансферты за счет средств субсидии на реализацию мероприятий в сфере дорожной деятельности</t>
  </si>
  <si>
    <t>400</t>
  </si>
  <si>
    <t>2022 год</t>
  </si>
  <si>
    <t>субсидия спорт</t>
  </si>
  <si>
    <t>1102</t>
  </si>
  <si>
    <t>Массовый спорт</t>
  </si>
  <si>
    <t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t>
  </si>
  <si>
    <t>замена кровли</t>
  </si>
  <si>
    <t>осветит приборы</t>
  </si>
  <si>
    <t>площадки линейки</t>
  </si>
  <si>
    <t>Муниципальная программа "Комплексное развитие сельских территорий"</t>
  </si>
  <si>
    <t>Капитальные вложения в объекты государственной (муниципальной) собственности (софинансирование)</t>
  </si>
  <si>
    <t xml:space="preserve">Физическая культура </t>
  </si>
  <si>
    <t>Основное мероприятие "Приобретение и замена осветительных приборов, а также выполнение необходимых для этого работ в зданиях муниципальных образовательных организаций"</t>
  </si>
  <si>
    <t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</si>
  <si>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t>
  </si>
  <si>
    <t>Е2</t>
  </si>
  <si>
    <t xml:space="preserve">Основное мероприятие "Региональный проект "Создание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годы. (Ремонт спортивного зала в МБОУ Рябовская СШ Алексеевского района Волгоградской области в 2020 году)" </t>
  </si>
  <si>
    <t>замена окон блоки</t>
  </si>
  <si>
    <t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</si>
  <si>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t>
  </si>
  <si>
    <t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t>
  </si>
  <si>
    <t>тыс. рублей </t>
  </si>
  <si>
    <t xml:space="preserve">Обслуживание государственного (муниципального) долга </t>
  </si>
  <si>
    <t xml:space="preserve"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t>
  </si>
  <si>
    <t>дотация</t>
  </si>
  <si>
    <t>горя пит шк</t>
  </si>
  <si>
    <t>Всего областные</t>
  </si>
  <si>
    <t>классное руководство</t>
  </si>
  <si>
    <t>Основное мероприятие "Повышение уровня финансовой грамотности обучающихся 4 – 11 классов по программе, разработанной Минфином «Содействие повышению уровня финансовой грамотности населению и развитию финансового образования в Российской Федерации "</t>
  </si>
  <si>
    <t>иные МБТ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</si>
  <si>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</si>
  <si>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субсидия инициат</t>
  </si>
  <si>
    <t>Контрольно-счетная комиссия Алексеевского муниципального района</t>
  </si>
  <si>
    <t>межбюд</t>
  </si>
  <si>
    <t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t>
  </si>
  <si>
    <t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t>
  </si>
  <si>
    <t>косгу 226 или 263 квр 323</t>
  </si>
  <si>
    <t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</si>
  <si>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субсидмя модер спорт пл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</si>
  <si>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t>
  </si>
  <si>
    <t xml:space="preserve"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t>
  </si>
  <si>
    <t>суб освящ ДФ</t>
  </si>
  <si>
    <t>Подпрограмма "Развитие дошкольного образования детей"</t>
  </si>
  <si>
    <t>Подпрограмма "Развитие общего образования детей"</t>
  </si>
  <si>
    <t>Подпрограмма "Развитие дополнительного образования детей"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</si>
  <si>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</si>
  <si>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</si>
  <si>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</si>
  <si>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Молодежная политика </t>
  </si>
  <si>
    <t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t>
  </si>
  <si>
    <t>Ведомственная целевая программа "Развитие образования детей на территории Алексеевского муниципального района на 2020-2022 годы"</t>
  </si>
  <si>
    <t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t>
  </si>
  <si>
    <t xml:space="preserve">Субсидия на реализацию мероприятий в сфере дорожной деятельности </t>
  </si>
  <si>
    <t>Закупка товаров, работ и услуг для государственных (муниципальных) нужд (софинансирование мероприятий в сфере дорожной деятельности)</t>
  </si>
  <si>
    <t>Предоставление субсидий бюджетным, автономным учреждениям и иным некоммерческим организациям (ДЮСШ)</t>
  </si>
  <si>
    <t>Предоставление субсидий бюджетным, автономным учреждениям и иным некоммерческим организациям (ДШИ)</t>
  </si>
  <si>
    <t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t>
  </si>
  <si>
    <t>06</t>
  </si>
  <si>
    <t>А1</t>
  </si>
  <si>
    <t>Основное мероприятие "Региональный проект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населения"</t>
  </si>
  <si>
    <t>Муниципальная программа "Развитие культуры и искусства в Алексеевском муниципальном районе на 2021-2025 годы"</t>
  </si>
  <si>
    <t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t>
  </si>
  <si>
    <t>субсидия МКДЦ</t>
  </si>
  <si>
    <t>Основное мероприятие "Приобретение и монтаж оборудования для доочистки воды"</t>
  </si>
  <si>
    <t>субсидия очистка вода</t>
  </si>
  <si>
    <t>10</t>
  </si>
  <si>
    <t>Основное мероприятие "Увековечение памяти погибших при защите Отечества на 2019-2024 годы на территории Алексеевского муниципального района"</t>
  </si>
  <si>
    <t>Межбюджетные трансферты за счет средств субсидии на приобретение и монтаж оборудования для доочистки воды (с учетом софинансирования)</t>
  </si>
  <si>
    <t>деф чист</t>
  </si>
  <si>
    <t>Основное мероприятие "Опорная школа"</t>
  </si>
  <si>
    <t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t>
  </si>
  <si>
    <t>субсидия памятники</t>
  </si>
  <si>
    <t>Осуществление полномочий по подготовке и проведению Всероссийской переписи населения 2020 года на 2021 год</t>
  </si>
  <si>
    <t>Межбюджетные трансферты за счет средств субсидии на благоустройство и ремонт памятников, обелисков и воинских захоронений</t>
  </si>
  <si>
    <t xml:space="preserve">Основное мероприятие "Дооснащение действующих объектов физической культуры и спорта оборудованием для лиц с ограниченными возможностями здоровья" </t>
  </si>
  <si>
    <t>Основное мероприятие "Реализация мероприятий по поддержке участников и ветеранов боевых действий, ветеранов военной службы, семей погибших, ветеранов труда, инвалидов, детей-инвалидов"</t>
  </si>
  <si>
    <t>субсидия на развитие ОМС (выборы)</t>
  </si>
  <si>
    <t>Остаток на 01.01.2022</t>
  </si>
  <si>
    <t>благоустройство</t>
  </si>
  <si>
    <t>кадастровые работы</t>
  </si>
  <si>
    <t>R5110</t>
  </si>
  <si>
    <t>Ведомственная целевая программа "Поддержка средств массовой информации в Алексеевском муниципальном районе на 2022-2024 годы"</t>
  </si>
  <si>
    <t>Муниципальная программа "Градостроительная политика на территории Алексеевского муниципального района на 2022–2024 годы"</t>
  </si>
  <si>
    <t>Муниципальная программа "Инвестиционная программа по жилищно-коммунальному хозяйству Алексеевского муниципального района на 2022-2024 годы"</t>
  </si>
  <si>
    <t>Ведомственная целевая программа "Развитие дошкольного образования детей на территории Алексеевского муниципального района на 2022-2024 годы"</t>
  </si>
  <si>
    <t>Ведомственная целевая программа "Молодежная политика на территории Алексеевского муниципального района на 2022-2024 годы" (СДЦ)</t>
  </si>
  <si>
    <t xml:space="preserve"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t>
  </si>
  <si>
    <t>Ведомственная целевая программа "Развитие культуры и искусства в Алексеевском муниципальном районе на 2022-2024 годы"</t>
  </si>
  <si>
    <t>Распределение бюджетных ассигнований по разделам и подразделам, целевым статьям и видам расходов районного бюджета на 2022 год и плановый период 2023-2024 годов</t>
  </si>
  <si>
    <t>Распределение бюджетных ассигнований по разделам и по подразделам классификации расходов районного бюджета на 2022 год и на плановый период 2023 - 2024 годы</t>
  </si>
  <si>
    <t>Основное мероприятие "Проведение в 2022 году комплексных кадастровых работ "</t>
  </si>
  <si>
    <t>Распределение бюджетных ассигнований на реализацию ведомственных целевых программ на 2022 год и плановый период 2023-2024 годов</t>
  </si>
  <si>
    <t>Распределение бюджетных ассигнований по разделам, подразделам, целевым статьям и видам расходов бюджета в составе ведомственной структуры расходов районного бюджета на 2022 год и плановый период   2023-2024 годы</t>
  </si>
  <si>
    <t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t>
  </si>
  <si>
    <t>Другие вопросы в области охраны окружающей среды</t>
  </si>
  <si>
    <t xml:space="preserve">Обслуживание государственного (муниципального) внутреннего долга </t>
  </si>
  <si>
    <t>Лимиты 2022 год</t>
  </si>
  <si>
    <t>КОСГУ</t>
  </si>
  <si>
    <t>КВР</t>
  </si>
  <si>
    <t>КЦСР</t>
  </si>
  <si>
    <t>КФСР</t>
  </si>
  <si>
    <t>КВСР</t>
  </si>
  <si>
    <t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t>
  </si>
  <si>
    <t>Закупка товаров, работ и услуг для государственных (муниципальных) нужд (софинансирования)</t>
  </si>
  <si>
    <t>Проведение в 2022 году комплексных кадастровых работ</t>
  </si>
  <si>
    <t>Основное мероприятие "Тютерство"</t>
  </si>
  <si>
    <t>обеспечение жильем</t>
  </si>
  <si>
    <t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</si>
  <si>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Ведом ствен ная целе вая про грам ма</t>
  </si>
  <si>
    <t>Основное мероприятие "Благоустройство сельских территорий"</t>
  </si>
  <si>
    <t>КРС(ТОСы)</t>
  </si>
  <si>
    <t>Собственные на 01.04.2022</t>
  </si>
  <si>
    <t>хэс вода</t>
  </si>
  <si>
    <t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t>
  </si>
  <si>
    <t>Межбюджетные трансферты (содержание на территории муниципального района межпоселенческих мест захоронения, организация ритуальных услуг)</t>
  </si>
  <si>
    <t>2 5 1</t>
  </si>
  <si>
    <t>5 4 0</t>
  </si>
  <si>
    <t>Межбюджетные трансферты, передаваемые бюджетам сельских поселений  на осуществление  полномочий по содержанию на территории муниципального района межпоселенческих мест захоронения, организация ритуальных услуг</t>
  </si>
  <si>
    <t>99 0 00 40450</t>
  </si>
  <si>
    <t>Наименование КЦСР</t>
  </si>
  <si>
    <t>руб.</t>
  </si>
  <si>
    <t>КВР: 540</t>
  </si>
  <si>
    <t>Тип бланка расходов: Смета</t>
  </si>
  <si>
    <t>Бюджет: Бюджет Алексеевского муниципального района</t>
  </si>
  <si>
    <t>Дата печати 26.04.2022 (10:35:10)</t>
  </si>
  <si>
    <t xml:space="preserve"> на 01.05.2022 г.</t>
  </si>
  <si>
    <t>(наименование органа, исполняющего бюджет)</t>
  </si>
  <si>
    <t>Администрация Алексеевского муниципального района Волгоградской области</t>
  </si>
  <si>
    <t>05 03</t>
  </si>
  <si>
    <t>Резервный фонд Администрации Волгоградской области</t>
  </si>
  <si>
    <t>288-п</t>
  </si>
  <si>
    <t>резервный фонд</t>
  </si>
  <si>
    <t>премия</t>
  </si>
  <si>
    <t>Собственные на 01.08.2022</t>
  </si>
  <si>
    <t xml:space="preserve">Собственные </t>
  </si>
  <si>
    <t>вода</t>
  </si>
  <si>
    <t>2 программа</t>
  </si>
  <si>
    <t>на 01.10.2022</t>
  </si>
  <si>
    <t>на 01.11.2022</t>
  </si>
  <si>
    <t>советники</t>
  </si>
  <si>
    <t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t>
  </si>
  <si>
    <t>доп образ</t>
  </si>
  <si>
    <t>культура</t>
  </si>
  <si>
    <t>% исполнения</t>
  </si>
  <si>
    <t>Исполнено за 2022 год</t>
  </si>
  <si>
    <t>к решению Алексеевской районной Думы</t>
  </si>
  <si>
    <t>Приложение №12</t>
  </si>
  <si>
    <t xml:space="preserve">Отчет об исполнении муниципальных программ за 2022 год </t>
  </si>
  <si>
    <t>от  29.05.2023 г. № 57/328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</si>
</sst>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0.00000"/>
    <numFmt numFmtId="175" formatCode="0.0000"/>
    <numFmt numFmtId="176" formatCode="0.000"/>
    <numFmt numFmtId="177" formatCode="#,##0.0_р_."/>
    <numFmt numFmtId="178" formatCode="#,##0.0"/>
    <numFmt numFmtId="179" formatCode="000"/>
    <numFmt numFmtId="180" formatCode="0.000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/mm/yyyy\ hh:mm"/>
    <numFmt numFmtId="187" formatCode="?"/>
    <numFmt numFmtId="188" formatCode="#,##0.00000"/>
    <numFmt numFmtId="189" formatCode="#,##0.00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3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8"/>
      <name val="Arial"/>
      <family val="2"/>
    </font>
    <font>
      <sz val="5"/>
      <name val="Times New Roman"/>
      <family val="1"/>
    </font>
    <font>
      <b/>
      <sz val="8.5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Fill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74" fillId="0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NumberFormat="1" applyFont="1" applyAlignment="1">
      <alignment horizontal="left"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>
      <alignment/>
      <protection/>
    </xf>
    <xf numFmtId="0" fontId="55" fillId="0" borderId="0" xfId="53">
      <alignment/>
      <protection/>
    </xf>
    <xf numFmtId="0" fontId="9" fillId="34" borderId="0" xfId="53" applyFont="1" applyFill="1" applyAlignment="1">
      <alignment horizontal="center"/>
      <protection/>
    </xf>
    <xf numFmtId="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4" fontId="0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" fontId="1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" fontId="0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ont="1" applyAlignment="1">
      <alignment horizontal="right"/>
    </xf>
    <xf numFmtId="174" fontId="75" fillId="0" borderId="0" xfId="0" applyNumberFormat="1" applyFont="1" applyAlignment="1">
      <alignment horizontal="right"/>
    </xf>
    <xf numFmtId="0" fontId="2" fillId="33" borderId="0" xfId="0" applyNumberFormat="1" applyFont="1" applyFill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center" vertical="top" wrapText="1"/>
    </xf>
    <xf numFmtId="0" fontId="2" fillId="33" borderId="0" xfId="0" applyNumberFormat="1" applyFont="1" applyFill="1" applyAlignment="1">
      <alignment horizontal="left" vertical="top" wrapText="1"/>
    </xf>
    <xf numFmtId="172" fontId="12" fillId="0" borderId="11" xfId="0" applyNumberFormat="1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Font="1" applyAlignment="1">
      <alignment horizontal="right"/>
    </xf>
    <xf numFmtId="0" fontId="1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0" fontId="7" fillId="34" borderId="10" xfId="53" applyFont="1" applyFill="1" applyBorder="1" applyAlignment="1">
      <alignment horizontal="center" vertical="top" wrapText="1"/>
      <protection/>
    </xf>
    <xf numFmtId="174" fontId="75" fillId="35" borderId="0" xfId="0" applyNumberFormat="1" applyFont="1" applyFill="1" applyAlignment="1">
      <alignment horizontal="right"/>
    </xf>
    <xf numFmtId="0" fontId="11" fillId="33" borderId="10" xfId="0" applyNumberFormat="1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right" vertical="center" wrapText="1"/>
    </xf>
    <xf numFmtId="174" fontId="7" fillId="35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 wrapText="1"/>
    </xf>
    <xf numFmtId="174" fontId="7" fillId="35" borderId="10" xfId="0" applyNumberFormat="1" applyFont="1" applyFill="1" applyBorder="1" applyAlignment="1">
      <alignment horizontal="right" wrapText="1"/>
    </xf>
    <xf numFmtId="174" fontId="7" fillId="16" borderId="10" xfId="0" applyNumberFormat="1" applyFont="1" applyFill="1" applyBorder="1" applyAlignment="1">
      <alignment horizontal="right" vertical="center" wrapText="1"/>
    </xf>
    <xf numFmtId="174" fontId="7" fillId="35" borderId="10" xfId="0" applyNumberFormat="1" applyFont="1" applyFill="1" applyBorder="1" applyAlignment="1">
      <alignment horizontal="right" vertical="center"/>
    </xf>
    <xf numFmtId="174" fontId="7" fillId="37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Border="1" applyAlignment="1">
      <alignment horizontal="right" vertical="center"/>
    </xf>
    <xf numFmtId="174" fontId="7" fillId="33" borderId="10" xfId="0" applyNumberFormat="1" applyFont="1" applyFill="1" applyBorder="1" applyAlignment="1">
      <alignment horizontal="right" vertical="center" wrapText="1"/>
    </xf>
    <xf numFmtId="174" fontId="7" fillId="0" borderId="10" xfId="0" applyNumberFormat="1" applyFont="1" applyFill="1" applyBorder="1" applyAlignment="1">
      <alignment horizontal="right" vertical="center" wrapText="1"/>
    </xf>
    <xf numFmtId="174" fontId="7" fillId="10" borderId="10" xfId="0" applyNumberFormat="1" applyFont="1" applyFill="1" applyBorder="1" applyAlignment="1">
      <alignment horizontal="right" vertical="center" wrapText="1"/>
    </xf>
    <xf numFmtId="174" fontId="7" fillId="16" borderId="10" xfId="0" applyNumberFormat="1" applyFont="1" applyFill="1" applyBorder="1" applyAlignment="1">
      <alignment horizontal="right" vertical="center"/>
    </xf>
    <xf numFmtId="174" fontId="7" fillId="7" borderId="10" xfId="0" applyNumberFormat="1" applyFont="1" applyFill="1" applyBorder="1" applyAlignment="1">
      <alignment horizontal="right" vertical="center" wrapText="1"/>
    </xf>
    <xf numFmtId="174" fontId="7" fillId="13" borderId="10" xfId="0" applyNumberFormat="1" applyFont="1" applyFill="1" applyBorder="1" applyAlignment="1">
      <alignment horizontal="right" vertical="center"/>
    </xf>
    <xf numFmtId="174" fontId="7" fillId="3" borderId="10" xfId="0" applyNumberFormat="1" applyFont="1" applyFill="1" applyBorder="1" applyAlignment="1">
      <alignment horizontal="right" vertical="center" wrapText="1"/>
    </xf>
    <xf numFmtId="174" fontId="7" fillId="22" borderId="10" xfId="0" applyNumberFormat="1" applyFont="1" applyFill="1" applyBorder="1" applyAlignment="1">
      <alignment horizontal="right" vertical="center" wrapText="1"/>
    </xf>
    <xf numFmtId="174" fontId="7" fillId="9" borderId="10" xfId="0" applyNumberFormat="1" applyFont="1" applyFill="1" applyBorder="1" applyAlignment="1">
      <alignment horizontal="right" vertical="center" wrapText="1"/>
    </xf>
    <xf numFmtId="174" fontId="7" fillId="12" borderId="10" xfId="0" applyNumberFormat="1" applyFont="1" applyFill="1" applyBorder="1" applyAlignment="1">
      <alignment horizontal="right" vertical="center" wrapText="1"/>
    </xf>
    <xf numFmtId="0" fontId="0" fillId="14" borderId="0" xfId="0" applyFont="1" applyFill="1" applyAlignment="1">
      <alignment horizontal="center"/>
    </xf>
    <xf numFmtId="1" fontId="0" fillId="14" borderId="0" xfId="0" applyNumberFormat="1" applyFont="1" applyFill="1" applyAlignment="1">
      <alignment horizontal="center"/>
    </xf>
    <xf numFmtId="0" fontId="0" fillId="14" borderId="0" xfId="0" applyNumberFormat="1" applyFont="1" applyFill="1" applyAlignment="1">
      <alignment horizontal="left"/>
    </xf>
    <xf numFmtId="174" fontId="0" fillId="14" borderId="0" xfId="0" applyNumberFormat="1" applyFont="1" applyFill="1" applyAlignment="1">
      <alignment horizontal="right"/>
    </xf>
    <xf numFmtId="174" fontId="0" fillId="14" borderId="0" xfId="0" applyNumberFormat="1" applyFont="1" applyFill="1" applyAlignment="1">
      <alignment/>
    </xf>
    <xf numFmtId="0" fontId="5" fillId="35" borderId="0" xfId="0" applyNumberFormat="1" applyFont="1" applyFill="1" applyAlignment="1">
      <alignment horizontal="left"/>
    </xf>
    <xf numFmtId="180" fontId="0" fillId="35" borderId="0" xfId="0" applyNumberFormat="1" applyFont="1" applyFill="1" applyAlignment="1">
      <alignment horizontal="right"/>
    </xf>
    <xf numFmtId="174" fontId="75" fillId="0" borderId="0" xfId="0" applyNumberFormat="1" applyFont="1" applyFill="1" applyAlignment="1">
      <alignment/>
    </xf>
    <xf numFmtId="0" fontId="4" fillId="34" borderId="10" xfId="53" applyFont="1" applyFill="1" applyBorder="1" applyAlignment="1">
      <alignment horizontal="left" vertical="top" wrapText="1"/>
      <protection/>
    </xf>
    <xf numFmtId="173" fontId="12" fillId="34" borderId="10" xfId="53" applyNumberFormat="1" applyFont="1" applyFill="1" applyBorder="1" applyAlignment="1">
      <alignment horizontal="right" vertical="center" wrapText="1"/>
      <protection/>
    </xf>
    <xf numFmtId="49" fontId="4" fillId="34" borderId="10" xfId="53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76" fillId="33" borderId="10" xfId="0" applyNumberFormat="1" applyFont="1" applyFill="1" applyBorder="1" applyAlignment="1">
      <alignment horizontal="left" vertical="top" wrapText="1"/>
    </xf>
    <xf numFmtId="0" fontId="77" fillId="33" borderId="10" xfId="0" applyNumberFormat="1" applyFont="1" applyFill="1" applyBorder="1" applyAlignment="1">
      <alignment horizontal="left" vertical="top" wrapText="1"/>
    </xf>
    <xf numFmtId="0" fontId="78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1" fontId="15" fillId="0" borderId="0" xfId="0" applyNumberFormat="1" applyFont="1" applyAlignment="1">
      <alignment horizontal="right"/>
    </xf>
    <xf numFmtId="173" fontId="79" fillId="0" borderId="0" xfId="53" applyNumberFormat="1" applyFont="1">
      <alignment/>
      <protection/>
    </xf>
    <xf numFmtId="0" fontId="0" fillId="0" borderId="0" xfId="0" applyNumberFormat="1" applyFont="1" applyAlignment="1">
      <alignment/>
    </xf>
    <xf numFmtId="173" fontId="11" fillId="33" borderId="10" xfId="0" applyNumberFormat="1" applyFont="1" applyFill="1" applyBorder="1" applyAlignment="1">
      <alignment horizontal="right" wrapText="1"/>
    </xf>
    <xf numFmtId="0" fontId="11" fillId="36" borderId="10" xfId="0" applyNumberFormat="1" applyFont="1" applyFill="1" applyBorder="1" applyAlignment="1">
      <alignment vertical="top" wrapText="1"/>
    </xf>
    <xf numFmtId="0" fontId="11" fillId="35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11" fillId="16" borderId="10" xfId="0" applyNumberFormat="1" applyFont="1" applyFill="1" applyBorder="1" applyAlignment="1">
      <alignment vertical="top" wrapText="1"/>
    </xf>
    <xf numFmtId="0" fontId="11" fillId="16" borderId="10" xfId="0" applyFont="1" applyFill="1" applyBorder="1" applyAlignment="1">
      <alignment vertical="top" wrapText="1"/>
    </xf>
    <xf numFmtId="0" fontId="11" fillId="35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37" borderId="10" xfId="0" applyNumberFormat="1" applyFont="1" applyFill="1" applyBorder="1" applyAlignment="1">
      <alignment vertical="top" wrapText="1"/>
    </xf>
    <xf numFmtId="0" fontId="11" fillId="35" borderId="10" xfId="0" applyNumberFormat="1" applyFont="1" applyFill="1" applyBorder="1" applyAlignment="1">
      <alignment wrapText="1"/>
    </xf>
    <xf numFmtId="0" fontId="11" fillId="33" borderId="10" xfId="0" applyNumberFormat="1" applyFont="1" applyFill="1" applyBorder="1" applyAlignment="1">
      <alignment wrapText="1"/>
    </xf>
    <xf numFmtId="0" fontId="11" fillId="0" borderId="10" xfId="0" applyNumberFormat="1" applyFont="1" applyFill="1" applyBorder="1" applyAlignment="1">
      <alignment vertical="top" wrapText="1"/>
    </xf>
    <xf numFmtId="0" fontId="11" fillId="10" borderId="10" xfId="0" applyNumberFormat="1" applyFont="1" applyFill="1" applyBorder="1" applyAlignment="1">
      <alignment vertical="top" wrapText="1"/>
    </xf>
    <xf numFmtId="0" fontId="11" fillId="7" borderId="10" xfId="0" applyNumberFormat="1" applyFont="1" applyFill="1" applyBorder="1" applyAlignment="1">
      <alignment vertical="top" wrapText="1"/>
    </xf>
    <xf numFmtId="0" fontId="11" fillId="13" borderId="10" xfId="0" applyNumberFormat="1" applyFont="1" applyFill="1" applyBorder="1" applyAlignment="1">
      <alignment vertical="top" wrapText="1"/>
    </xf>
    <xf numFmtId="0" fontId="11" fillId="3" borderId="10" xfId="0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22" borderId="10" xfId="0" applyNumberFormat="1" applyFont="1" applyFill="1" applyBorder="1" applyAlignment="1">
      <alignment vertical="top" wrapText="1"/>
    </xf>
    <xf numFmtId="0" fontId="11" fillId="9" borderId="10" xfId="0" applyNumberFormat="1" applyFont="1" applyFill="1" applyBorder="1" applyAlignment="1">
      <alignment vertical="top" wrapText="1"/>
    </xf>
    <xf numFmtId="0" fontId="11" fillId="12" borderId="10" xfId="0" applyNumberFormat="1" applyFont="1" applyFill="1" applyBorder="1" applyAlignment="1">
      <alignment vertical="top" wrapText="1"/>
    </xf>
    <xf numFmtId="49" fontId="11" fillId="36" borderId="10" xfId="0" applyNumberFormat="1" applyFont="1" applyFill="1" applyBorder="1" applyAlignment="1">
      <alignment horizontal="right" vertical="center" wrapText="1"/>
    </xf>
    <xf numFmtId="1" fontId="11" fillId="36" borderId="10" xfId="0" applyNumberFormat="1" applyFont="1" applyFill="1" applyBorder="1" applyAlignment="1">
      <alignment horizontal="right" vertical="center" wrapText="1"/>
    </xf>
    <xf numFmtId="0" fontId="11" fillId="36" borderId="10" xfId="0" applyNumberFormat="1" applyFont="1" applyFill="1" applyBorder="1" applyAlignment="1">
      <alignment horizontal="right" vertical="center" wrapText="1"/>
    </xf>
    <xf numFmtId="49" fontId="11" fillId="35" borderId="10" xfId="0" applyNumberFormat="1" applyFont="1" applyFill="1" applyBorder="1" applyAlignment="1">
      <alignment horizontal="right" vertical="center" wrapText="1"/>
    </xf>
    <xf numFmtId="1" fontId="11" fillId="35" borderId="10" xfId="0" applyNumberFormat="1" applyFont="1" applyFill="1" applyBorder="1" applyAlignment="1">
      <alignment horizontal="right" vertical="center" wrapText="1"/>
    </xf>
    <xf numFmtId="0" fontId="11" fillId="35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right"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Border="1" applyAlignment="1">
      <alignment horizontal="right" vertical="center" wrapText="1"/>
    </xf>
    <xf numFmtId="49" fontId="11" fillId="35" borderId="10" xfId="0" applyNumberFormat="1" applyFont="1" applyFill="1" applyBorder="1" applyAlignment="1">
      <alignment horizontal="right" wrapText="1"/>
    </xf>
    <xf numFmtId="1" fontId="11" fillId="35" borderId="10" xfId="0" applyNumberFormat="1" applyFont="1" applyFill="1" applyBorder="1" applyAlignment="1">
      <alignment horizontal="right" wrapText="1"/>
    </xf>
    <xf numFmtId="0" fontId="11" fillId="35" borderId="10" xfId="0" applyNumberFormat="1" applyFont="1" applyFill="1" applyBorder="1" applyAlignment="1">
      <alignment horizontal="right" wrapText="1"/>
    </xf>
    <xf numFmtId="49" fontId="11" fillId="16" borderId="10" xfId="0" applyNumberFormat="1" applyFont="1" applyFill="1" applyBorder="1" applyAlignment="1">
      <alignment horizontal="right" vertical="center" wrapText="1"/>
    </xf>
    <xf numFmtId="1" fontId="11" fillId="16" borderId="10" xfId="0" applyNumberFormat="1" applyFont="1" applyFill="1" applyBorder="1" applyAlignment="1">
      <alignment horizontal="right" vertical="center" wrapText="1"/>
    </xf>
    <xf numFmtId="0" fontId="11" fillId="16" borderId="10" xfId="0" applyNumberFormat="1" applyFont="1" applyFill="1" applyBorder="1" applyAlignment="1">
      <alignment horizontal="right" vertical="center" wrapText="1"/>
    </xf>
    <xf numFmtId="49" fontId="11" fillId="37" borderId="10" xfId="0" applyNumberFormat="1" applyFont="1" applyFill="1" applyBorder="1" applyAlignment="1">
      <alignment horizontal="right" vertical="center" wrapText="1"/>
    </xf>
    <xf numFmtId="1" fontId="11" fillId="37" borderId="10" xfId="0" applyNumberFormat="1" applyFont="1" applyFill="1" applyBorder="1" applyAlignment="1">
      <alignment horizontal="right" vertical="center" wrapText="1"/>
    </xf>
    <xf numFmtId="0" fontId="11" fillId="37" borderId="10" xfId="0" applyNumberFormat="1" applyFont="1" applyFill="1" applyBorder="1" applyAlignment="1">
      <alignment horizontal="right" vertical="center" wrapText="1"/>
    </xf>
    <xf numFmtId="49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 wrapText="1"/>
    </xf>
    <xf numFmtId="1" fontId="11" fillId="33" borderId="10" xfId="0" applyNumberFormat="1" applyFont="1" applyFill="1" applyBorder="1" applyAlignment="1">
      <alignment horizontal="right" vertical="center" wrapText="1"/>
    </xf>
    <xf numFmtId="0" fontId="11" fillId="0" borderId="10" xfId="0" applyNumberFormat="1" applyFont="1" applyFill="1" applyBorder="1" applyAlignment="1">
      <alignment horizontal="right" vertical="center" wrapText="1"/>
    </xf>
    <xf numFmtId="49" fontId="11" fillId="10" borderId="10" xfId="0" applyNumberFormat="1" applyFont="1" applyFill="1" applyBorder="1" applyAlignment="1">
      <alignment horizontal="right" vertical="center" wrapText="1"/>
    </xf>
    <xf numFmtId="0" fontId="11" fillId="10" borderId="10" xfId="0" applyNumberFormat="1" applyFont="1" applyFill="1" applyBorder="1" applyAlignment="1">
      <alignment horizontal="right" vertical="center" wrapText="1"/>
    </xf>
    <xf numFmtId="1" fontId="11" fillId="10" borderId="10" xfId="0" applyNumberFormat="1" applyFont="1" applyFill="1" applyBorder="1" applyAlignment="1">
      <alignment horizontal="right" vertical="center" wrapText="1"/>
    </xf>
    <xf numFmtId="0" fontId="11" fillId="35" borderId="10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right" vertical="center"/>
    </xf>
    <xf numFmtId="49" fontId="11" fillId="7" borderId="10" xfId="0" applyNumberFormat="1" applyFont="1" applyFill="1" applyBorder="1" applyAlignment="1">
      <alignment horizontal="right" vertical="center" wrapText="1"/>
    </xf>
    <xf numFmtId="1" fontId="11" fillId="7" borderId="10" xfId="0" applyNumberFormat="1" applyFont="1" applyFill="1" applyBorder="1" applyAlignment="1">
      <alignment horizontal="right" vertical="center" wrapText="1"/>
    </xf>
    <xf numFmtId="0" fontId="11" fillId="7" borderId="10" xfId="0" applyNumberFormat="1" applyFont="1" applyFill="1" applyBorder="1" applyAlignment="1">
      <alignment horizontal="right" vertical="center" wrapText="1"/>
    </xf>
    <xf numFmtId="0" fontId="16" fillId="35" borderId="10" xfId="0" applyNumberFormat="1" applyFont="1" applyFill="1" applyBorder="1" applyAlignment="1">
      <alignment horizontal="right" vertical="center" wrapText="1"/>
    </xf>
    <xf numFmtId="49" fontId="11" fillId="13" borderId="10" xfId="0" applyNumberFormat="1" applyFont="1" applyFill="1" applyBorder="1" applyAlignment="1">
      <alignment horizontal="right" vertical="center" wrapText="1"/>
    </xf>
    <xf numFmtId="1" fontId="11" fillId="13" borderId="10" xfId="0" applyNumberFormat="1" applyFont="1" applyFill="1" applyBorder="1" applyAlignment="1">
      <alignment horizontal="right" vertical="center" wrapText="1"/>
    </xf>
    <xf numFmtId="0" fontId="11" fillId="13" borderId="10" xfId="0" applyNumberFormat="1" applyFont="1" applyFill="1" applyBorder="1" applyAlignment="1">
      <alignment horizontal="right" vertical="center" wrapText="1"/>
    </xf>
    <xf numFmtId="49" fontId="11" fillId="3" borderId="10" xfId="0" applyNumberFormat="1" applyFont="1" applyFill="1" applyBorder="1" applyAlignment="1">
      <alignment horizontal="right" vertical="center" wrapText="1"/>
    </xf>
    <xf numFmtId="1" fontId="11" fillId="3" borderId="10" xfId="0" applyNumberFormat="1" applyFont="1" applyFill="1" applyBorder="1" applyAlignment="1">
      <alignment horizontal="right" vertical="center" wrapText="1"/>
    </xf>
    <xf numFmtId="0" fontId="11" fillId="3" borderId="10" xfId="0" applyNumberFormat="1" applyFont="1" applyFill="1" applyBorder="1" applyAlignment="1">
      <alignment horizontal="right" vertical="center" wrapText="1"/>
    </xf>
    <xf numFmtId="0" fontId="11" fillId="33" borderId="10" xfId="0" applyNumberFormat="1" applyFont="1" applyFill="1" applyBorder="1" applyAlignment="1">
      <alignment horizontal="right" vertical="center"/>
    </xf>
    <xf numFmtId="0" fontId="11" fillId="3" borderId="10" xfId="0" applyNumberFormat="1" applyFont="1" applyFill="1" applyBorder="1" applyAlignment="1">
      <alignment horizontal="right" vertical="center"/>
    </xf>
    <xf numFmtId="49" fontId="11" fillId="22" borderId="10" xfId="0" applyNumberFormat="1" applyFont="1" applyFill="1" applyBorder="1" applyAlignment="1">
      <alignment horizontal="right" vertical="center" wrapText="1"/>
    </xf>
    <xf numFmtId="1" fontId="11" fillId="22" borderId="10" xfId="0" applyNumberFormat="1" applyFont="1" applyFill="1" applyBorder="1" applyAlignment="1">
      <alignment horizontal="right" vertical="center" wrapText="1"/>
    </xf>
    <xf numFmtId="0" fontId="11" fillId="22" borderId="10" xfId="0" applyNumberFormat="1" applyFont="1" applyFill="1" applyBorder="1" applyAlignment="1">
      <alignment horizontal="right" vertical="center" wrapText="1"/>
    </xf>
    <xf numFmtId="49" fontId="11" fillId="9" borderId="10" xfId="0" applyNumberFormat="1" applyFont="1" applyFill="1" applyBorder="1" applyAlignment="1">
      <alignment horizontal="right" vertical="center" wrapText="1"/>
    </xf>
    <xf numFmtId="1" fontId="11" fillId="9" borderId="10" xfId="0" applyNumberFormat="1" applyFont="1" applyFill="1" applyBorder="1" applyAlignment="1">
      <alignment horizontal="right" vertical="center" wrapText="1"/>
    </xf>
    <xf numFmtId="0" fontId="11" fillId="9" borderId="10" xfId="0" applyNumberFormat="1" applyFont="1" applyFill="1" applyBorder="1" applyAlignment="1">
      <alignment horizontal="right" vertical="center" wrapText="1"/>
    </xf>
    <xf numFmtId="172" fontId="11" fillId="3" borderId="10" xfId="0" applyNumberFormat="1" applyFont="1" applyFill="1" applyBorder="1" applyAlignment="1">
      <alignment horizontal="right" vertical="center" wrapText="1"/>
    </xf>
    <xf numFmtId="49" fontId="11" fillId="12" borderId="10" xfId="0" applyNumberFormat="1" applyFont="1" applyFill="1" applyBorder="1" applyAlignment="1">
      <alignment horizontal="right" vertical="center" wrapText="1"/>
    </xf>
    <xf numFmtId="0" fontId="11" fillId="12" borderId="10" xfId="0" applyNumberFormat="1" applyFont="1" applyFill="1" applyBorder="1" applyAlignment="1">
      <alignment horizontal="right" vertical="center" wrapText="1"/>
    </xf>
    <xf numFmtId="173" fontId="11" fillId="33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righ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left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Alignment="1">
      <alignment/>
    </xf>
    <xf numFmtId="0" fontId="75" fillId="35" borderId="0" xfId="0" applyNumberFormat="1" applyFont="1" applyFill="1" applyAlignment="1">
      <alignment horizontal="left"/>
    </xf>
    <xf numFmtId="0" fontId="75" fillId="0" borderId="0" xfId="0" applyNumberFormat="1" applyFont="1" applyAlignment="1">
      <alignment horizontal="left"/>
    </xf>
    <xf numFmtId="180" fontId="0" fillId="0" borderId="0" xfId="0" applyNumberFormat="1" applyFill="1" applyAlignment="1">
      <alignment/>
    </xf>
    <xf numFmtId="0" fontId="0" fillId="33" borderId="0" xfId="0" applyFont="1" applyFill="1" applyAlignment="1">
      <alignment horizontal="center"/>
    </xf>
    <xf numFmtId="174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1" fontId="11" fillId="33" borderId="10" xfId="0" applyNumberFormat="1" applyFont="1" applyFill="1" applyBorder="1" applyAlignment="1">
      <alignment horizontal="right" wrapText="1"/>
    </xf>
    <xf numFmtId="0" fontId="11" fillId="33" borderId="10" xfId="0" applyNumberFormat="1" applyFont="1" applyFill="1" applyBorder="1" applyAlignment="1">
      <alignment horizontal="right" wrapText="1"/>
    </xf>
    <xf numFmtId="49" fontId="11" fillId="33" borderId="10" xfId="0" applyNumberFormat="1" applyFont="1" applyFill="1" applyBorder="1" applyAlignment="1">
      <alignment horizontal="right" wrapText="1"/>
    </xf>
    <xf numFmtId="179" fontId="11" fillId="33" borderId="10" xfId="0" applyNumberFormat="1" applyFont="1" applyFill="1" applyBorder="1" applyAlignment="1">
      <alignment horizontal="right" wrapText="1"/>
    </xf>
    <xf numFmtId="0" fontId="80" fillId="33" borderId="0" xfId="0" applyNumberFormat="1" applyFont="1" applyFill="1" applyAlignment="1">
      <alignment/>
    </xf>
    <xf numFmtId="174" fontId="8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/>
    </xf>
    <xf numFmtId="173" fontId="0" fillId="0" borderId="0" xfId="0" applyNumberFormat="1" applyFill="1" applyAlignment="1">
      <alignment/>
    </xf>
    <xf numFmtId="174" fontId="0" fillId="37" borderId="0" xfId="0" applyNumberFormat="1" applyFill="1" applyAlignment="1">
      <alignment/>
    </xf>
    <xf numFmtId="174" fontId="0" fillId="37" borderId="0" xfId="0" applyNumberFormat="1" applyFont="1" applyFill="1" applyAlignment="1">
      <alignment horizontal="right"/>
    </xf>
    <xf numFmtId="49" fontId="3" fillId="34" borderId="10" xfId="53" applyNumberFormat="1" applyFont="1" applyFill="1" applyBorder="1" applyAlignment="1">
      <alignment horizontal="left" vertical="top" wrapText="1"/>
      <protection/>
    </xf>
    <xf numFmtId="0" fontId="3" fillId="34" borderId="10" xfId="53" applyFont="1" applyFill="1" applyBorder="1" applyAlignment="1">
      <alignment horizontal="left" vertical="top" wrapText="1"/>
      <protection/>
    </xf>
    <xf numFmtId="173" fontId="18" fillId="34" borderId="10" xfId="53" applyNumberFormat="1" applyFont="1" applyFill="1" applyBorder="1" applyAlignment="1">
      <alignment horizontal="right" vertical="center" wrapText="1"/>
      <protection/>
    </xf>
    <xf numFmtId="49" fontId="19" fillId="34" borderId="10" xfId="53" applyNumberFormat="1" applyFont="1" applyFill="1" applyBorder="1" applyAlignment="1">
      <alignment horizontal="left" vertical="top" wrapText="1"/>
      <protection/>
    </xf>
    <xf numFmtId="0" fontId="20" fillId="34" borderId="10" xfId="53" applyFont="1" applyFill="1" applyBorder="1" applyAlignment="1">
      <alignment horizontal="left" vertical="top" wrapText="1"/>
      <protection/>
    </xf>
    <xf numFmtId="174" fontId="0" fillId="38" borderId="0" xfId="0" applyNumberFormat="1" applyFont="1" applyFill="1" applyAlignment="1">
      <alignment horizontal="center"/>
    </xf>
    <xf numFmtId="174" fontId="0" fillId="35" borderId="0" xfId="0" applyNumberFormat="1" applyFill="1" applyAlignment="1">
      <alignment/>
    </xf>
    <xf numFmtId="0" fontId="0" fillId="35" borderId="0" xfId="0" applyFont="1" applyFill="1" applyAlignment="1">
      <alignment horizontal="center"/>
    </xf>
    <xf numFmtId="174" fontId="0" fillId="9" borderId="0" xfId="0" applyNumberFormat="1" applyFill="1" applyAlignment="1">
      <alignment/>
    </xf>
    <xf numFmtId="0" fontId="0" fillId="9" borderId="0" xfId="0" applyNumberFormat="1" applyFill="1" applyAlignment="1">
      <alignment/>
    </xf>
    <xf numFmtId="0" fontId="0" fillId="9" borderId="0" xfId="0" applyFont="1" applyFill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left"/>
    </xf>
    <xf numFmtId="174" fontId="0" fillId="33" borderId="0" xfId="0" applyNumberFormat="1" applyFont="1" applyFill="1" applyAlignment="1">
      <alignment/>
    </xf>
    <xf numFmtId="1" fontId="0" fillId="9" borderId="0" xfId="0" applyNumberFormat="1" applyFont="1" applyFill="1" applyAlignment="1">
      <alignment horizontal="center"/>
    </xf>
    <xf numFmtId="0" fontId="0" fillId="9" borderId="0" xfId="0" applyNumberFormat="1" applyFont="1" applyFill="1" applyAlignment="1">
      <alignment horizontal="left"/>
    </xf>
    <xf numFmtId="174" fontId="75" fillId="9" borderId="0" xfId="0" applyNumberFormat="1" applyFont="1" applyFill="1" applyAlignment="1">
      <alignment/>
    </xf>
    <xf numFmtId="0" fontId="17" fillId="9" borderId="0" xfId="0" applyFont="1" applyFill="1" applyAlignment="1">
      <alignment horizontal="center"/>
    </xf>
    <xf numFmtId="0" fontId="0" fillId="39" borderId="0" xfId="0" applyFill="1" applyAlignment="1">
      <alignment/>
    </xf>
    <xf numFmtId="174" fontId="0" fillId="39" borderId="0" xfId="0" applyNumberFormat="1" applyFill="1" applyAlignment="1">
      <alignment/>
    </xf>
    <xf numFmtId="174" fontId="75" fillId="39" borderId="0" xfId="0" applyNumberFormat="1" applyFont="1" applyFill="1" applyAlignment="1">
      <alignment/>
    </xf>
    <xf numFmtId="0" fontId="0" fillId="35" borderId="0" xfId="0" applyFill="1" applyAlignment="1">
      <alignment/>
    </xf>
    <xf numFmtId="174" fontId="0" fillId="17" borderId="0" xfId="0" applyNumberFormat="1" applyFont="1" applyFill="1" applyAlignment="1">
      <alignment/>
    </xf>
    <xf numFmtId="174" fontId="75" fillId="35" borderId="0" xfId="0" applyNumberFormat="1" applyFont="1" applyFill="1" applyAlignment="1">
      <alignment/>
    </xf>
    <xf numFmtId="174" fontId="75" fillId="35" borderId="0" xfId="0" applyNumberFormat="1" applyFont="1" applyFill="1" applyAlignment="1">
      <alignment/>
    </xf>
    <xf numFmtId="174" fontId="0" fillId="35" borderId="0" xfId="0" applyNumberFormat="1" applyFill="1" applyBorder="1" applyAlignment="1">
      <alignment/>
    </xf>
    <xf numFmtId="174" fontId="7" fillId="1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" fontId="22" fillId="0" borderId="0" xfId="0" applyNumberFormat="1" applyFont="1" applyBorder="1" applyAlignment="1" applyProtection="1">
      <alignment horizontal="right" vertical="center" wrapText="1"/>
      <protection/>
    </xf>
    <xf numFmtId="188" fontId="21" fillId="0" borderId="0" xfId="0" applyNumberFormat="1" applyFont="1" applyBorder="1" applyAlignment="1" applyProtection="1">
      <alignment horizontal="right" vertical="center" wrapText="1"/>
      <protection/>
    </xf>
    <xf numFmtId="188" fontId="0" fillId="0" borderId="0" xfId="0" applyNumberFormat="1" applyFill="1" applyBorder="1" applyAlignment="1">
      <alignment/>
    </xf>
    <xf numFmtId="1" fontId="11" fillId="35" borderId="1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0" fontId="23" fillId="0" borderId="0" xfId="0" applyFont="1" applyAlignment="1">
      <alignment/>
    </xf>
    <xf numFmtId="174" fontId="24" fillId="0" borderId="0" xfId="0" applyNumberFormat="1" applyFont="1" applyFill="1" applyAlignment="1">
      <alignment/>
    </xf>
    <xf numFmtId="0" fontId="81" fillId="35" borderId="10" xfId="0" applyNumberFormat="1" applyFont="1" applyFill="1" applyBorder="1" applyAlignment="1">
      <alignment vertical="top" wrapText="1"/>
    </xf>
    <xf numFmtId="49" fontId="81" fillId="35" borderId="10" xfId="0" applyNumberFormat="1" applyFont="1" applyFill="1" applyBorder="1" applyAlignment="1">
      <alignment horizontal="right" vertical="center" wrapText="1"/>
    </xf>
    <xf numFmtId="1" fontId="81" fillId="35" borderId="10" xfId="0" applyNumberFormat="1" applyFont="1" applyFill="1" applyBorder="1" applyAlignment="1">
      <alignment horizontal="right" vertical="center" wrapText="1"/>
    </xf>
    <xf numFmtId="0" fontId="81" fillId="35" borderId="10" xfId="0" applyNumberFormat="1" applyFont="1" applyFill="1" applyBorder="1" applyAlignment="1">
      <alignment horizontal="right" vertical="center" wrapText="1"/>
    </xf>
    <xf numFmtId="174" fontId="82" fillId="35" borderId="10" xfId="0" applyNumberFormat="1" applyFont="1" applyFill="1" applyBorder="1" applyAlignment="1">
      <alignment horizontal="right" vertical="center" wrapText="1"/>
    </xf>
    <xf numFmtId="0" fontId="81" fillId="33" borderId="10" xfId="0" applyNumberFormat="1" applyFont="1" applyFill="1" applyBorder="1" applyAlignment="1">
      <alignment vertical="top" wrapText="1"/>
    </xf>
    <xf numFmtId="49" fontId="81" fillId="33" borderId="10" xfId="0" applyNumberFormat="1" applyFont="1" applyFill="1" applyBorder="1" applyAlignment="1">
      <alignment horizontal="right" vertical="center" wrapText="1"/>
    </xf>
    <xf numFmtId="1" fontId="81" fillId="33" borderId="10" xfId="0" applyNumberFormat="1" applyFont="1" applyFill="1" applyBorder="1" applyAlignment="1">
      <alignment horizontal="right" vertical="center" wrapText="1"/>
    </xf>
    <xf numFmtId="0" fontId="81" fillId="33" borderId="10" xfId="0" applyNumberFormat="1" applyFont="1" applyFill="1" applyBorder="1" applyAlignment="1">
      <alignment horizontal="right" vertical="center" wrapText="1"/>
    </xf>
    <xf numFmtId="174" fontId="82" fillId="33" borderId="10" xfId="0" applyNumberFormat="1" applyFont="1" applyFill="1" applyBorder="1" applyAlignment="1">
      <alignment horizontal="right" vertical="center" wrapText="1"/>
    </xf>
    <xf numFmtId="174" fontId="82" fillId="0" borderId="10" xfId="0" applyNumberFormat="1" applyFont="1" applyBorder="1" applyAlignment="1">
      <alignment horizontal="right" vertical="center" wrapText="1"/>
    </xf>
    <xf numFmtId="0" fontId="81" fillId="0" borderId="10" xfId="0" applyNumberFormat="1" applyFont="1" applyBorder="1" applyAlignment="1">
      <alignment vertical="top" wrapText="1"/>
    </xf>
    <xf numFmtId="49" fontId="81" fillId="0" borderId="10" xfId="0" applyNumberFormat="1" applyFont="1" applyBorder="1" applyAlignment="1">
      <alignment horizontal="right" vertical="center" wrapText="1"/>
    </xf>
    <xf numFmtId="49" fontId="81" fillId="0" borderId="10" xfId="0" applyNumberFormat="1" applyFont="1" applyFill="1" applyBorder="1" applyAlignment="1">
      <alignment horizontal="right" vertical="center" wrapText="1"/>
    </xf>
    <xf numFmtId="1" fontId="81" fillId="0" borderId="10" xfId="0" applyNumberFormat="1" applyFont="1" applyFill="1" applyBorder="1" applyAlignment="1">
      <alignment horizontal="right" vertical="center" wrapText="1"/>
    </xf>
    <xf numFmtId="0" fontId="81" fillId="35" borderId="10" xfId="0" applyNumberFormat="1" applyFont="1" applyFill="1" applyBorder="1" applyAlignment="1">
      <alignment horizontal="right" vertical="center"/>
    </xf>
    <xf numFmtId="0" fontId="81" fillId="0" borderId="10" xfId="0" applyNumberFormat="1" applyFont="1" applyBorder="1" applyAlignment="1">
      <alignment horizontal="right" vertical="center"/>
    </xf>
    <xf numFmtId="0" fontId="81" fillId="3" borderId="10" xfId="0" applyNumberFormat="1" applyFont="1" applyFill="1" applyBorder="1" applyAlignment="1">
      <alignment vertical="top" wrapText="1"/>
    </xf>
    <xf numFmtId="49" fontId="81" fillId="3" borderId="10" xfId="0" applyNumberFormat="1" applyFont="1" applyFill="1" applyBorder="1" applyAlignment="1">
      <alignment horizontal="right" vertical="center" wrapText="1"/>
    </xf>
    <xf numFmtId="1" fontId="81" fillId="3" borderId="10" xfId="0" applyNumberFormat="1" applyFont="1" applyFill="1" applyBorder="1" applyAlignment="1">
      <alignment horizontal="right" vertical="center" wrapText="1"/>
    </xf>
    <xf numFmtId="0" fontId="81" fillId="3" borderId="10" xfId="0" applyNumberFormat="1" applyFont="1" applyFill="1" applyBorder="1" applyAlignment="1">
      <alignment horizontal="right" vertical="center"/>
    </xf>
    <xf numFmtId="174" fontId="82" fillId="3" borderId="10" xfId="0" applyNumberFormat="1" applyFont="1" applyFill="1" applyBorder="1" applyAlignment="1">
      <alignment horizontal="right" vertical="center" wrapText="1"/>
    </xf>
    <xf numFmtId="0" fontId="75" fillId="33" borderId="0" xfId="0" applyNumberFormat="1" applyFont="1" applyFill="1" applyAlignment="1">
      <alignment horizontal="left"/>
    </xf>
    <xf numFmtId="0" fontId="75" fillId="14" borderId="0" xfId="0" applyNumberFormat="1" applyFont="1" applyFill="1" applyAlignment="1">
      <alignment horizontal="left"/>
    </xf>
    <xf numFmtId="174" fontId="75" fillId="14" borderId="0" xfId="0" applyNumberFormat="1" applyFont="1" applyFill="1" applyAlignment="1">
      <alignment/>
    </xf>
    <xf numFmtId="0" fontId="81" fillId="3" borderId="10" xfId="0" applyFont="1" applyFill="1" applyBorder="1" applyAlignment="1">
      <alignment vertical="top" wrapText="1"/>
    </xf>
    <xf numFmtId="0" fontId="81" fillId="0" borderId="10" xfId="0" applyNumberFormat="1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right" vertical="center" wrapText="1"/>
    </xf>
    <xf numFmtId="0" fontId="75" fillId="35" borderId="0" xfId="0" applyFont="1" applyFill="1" applyAlignment="1">
      <alignment/>
    </xf>
    <xf numFmtId="0" fontId="0" fillId="35" borderId="0" xfId="0" applyNumberFormat="1" applyFont="1" applyFill="1" applyAlignment="1">
      <alignment horizontal="left"/>
    </xf>
    <xf numFmtId="174" fontId="0" fillId="35" borderId="0" xfId="0" applyNumberFormat="1" applyFont="1" applyFill="1" applyAlignment="1">
      <alignment horizontal="right"/>
    </xf>
    <xf numFmtId="174" fontId="0" fillId="35" borderId="0" xfId="0" applyNumberFormat="1" applyFont="1" applyFill="1" applyAlignment="1">
      <alignment/>
    </xf>
    <xf numFmtId="174" fontId="0" fillId="35" borderId="0" xfId="0" applyNumberFormat="1" applyFont="1" applyFill="1" applyAlignment="1">
      <alignment/>
    </xf>
    <xf numFmtId="0" fontId="0" fillId="0" borderId="0" xfId="54">
      <alignment/>
      <protection/>
    </xf>
    <xf numFmtId="4" fontId="22" fillId="0" borderId="14" xfId="54" applyNumberFormat="1" applyFont="1" applyBorder="1" applyAlignment="1" applyProtection="1">
      <alignment horizontal="right" vertical="center" wrapText="1"/>
      <protection/>
    </xf>
    <xf numFmtId="49" fontId="22" fillId="0" borderId="14" xfId="54" applyNumberFormat="1" applyFont="1" applyBorder="1" applyAlignment="1" applyProtection="1">
      <alignment horizontal="center" vertical="center" wrapText="1"/>
      <protection/>
    </xf>
    <xf numFmtId="49" fontId="26" fillId="0" borderId="10" xfId="54" applyNumberFormat="1" applyFont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/>
      <protection/>
    </xf>
    <xf numFmtId="0" fontId="3" fillId="0" borderId="0" xfId="54" applyFont="1" applyBorder="1" applyAlignment="1" applyProtection="1">
      <alignment horizontal="center"/>
      <protection/>
    </xf>
    <xf numFmtId="186" fontId="3" fillId="0" borderId="0" xfId="54" applyNumberFormat="1" applyFont="1" applyBorder="1" applyAlignment="1" applyProtection="1">
      <alignment horizontal="center"/>
      <protection/>
    </xf>
    <xf numFmtId="0" fontId="3" fillId="0" borderId="0" xfId="54" applyFont="1" applyBorder="1" applyAlignment="1" applyProtection="1">
      <alignment horizontal="left"/>
      <protection/>
    </xf>
    <xf numFmtId="1" fontId="13" fillId="33" borderId="10" xfId="0" applyNumberFormat="1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textRotation="90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0" fontId="13" fillId="33" borderId="11" xfId="0" applyNumberFormat="1" applyFont="1" applyFill="1" applyBorder="1" applyAlignment="1">
      <alignment horizontal="center" vertical="center" textRotation="90" wrapText="1"/>
    </xf>
    <xf numFmtId="0" fontId="13" fillId="33" borderId="10" xfId="0" applyNumberFormat="1" applyFont="1" applyFill="1" applyBorder="1" applyAlignment="1">
      <alignment horizontal="center" vertical="center" textRotation="90" wrapText="1"/>
    </xf>
    <xf numFmtId="0" fontId="23" fillId="33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textRotation="90" wrapText="1"/>
    </xf>
    <xf numFmtId="49" fontId="25" fillId="0" borderId="10" xfId="0" applyNumberFormat="1" applyFont="1" applyFill="1" applyBorder="1" applyAlignment="1">
      <alignment horizontal="center" vertical="top" textRotation="90" wrapText="1"/>
    </xf>
    <xf numFmtId="174" fontId="75" fillId="9" borderId="0" xfId="0" applyNumberFormat="1" applyFont="1" applyFill="1" applyAlignment="1">
      <alignment/>
    </xf>
    <xf numFmtId="0" fontId="75" fillId="9" borderId="0" xfId="0" applyNumberFormat="1" applyFont="1" applyFill="1" applyAlignment="1">
      <alignment/>
    </xf>
    <xf numFmtId="49" fontId="22" fillId="0" borderId="14" xfId="54" applyNumberFormat="1" applyFont="1" applyBorder="1" applyAlignment="1" applyProtection="1">
      <alignment horizontal="left" vertical="center" wrapText="1"/>
      <protection/>
    </xf>
    <xf numFmtId="0" fontId="2" fillId="0" borderId="0" xfId="54" applyFont="1" applyBorder="1" applyAlignment="1" applyProtection="1">
      <alignment wrapText="1"/>
      <protection/>
    </xf>
    <xf numFmtId="0" fontId="22" fillId="0" borderId="0" xfId="54" applyFont="1" applyBorder="1" applyAlignment="1" applyProtection="1">
      <alignment/>
      <protection/>
    </xf>
    <xf numFmtId="0" fontId="77" fillId="35" borderId="10" xfId="0" applyNumberFormat="1" applyFont="1" applyFill="1" applyBorder="1" applyAlignment="1">
      <alignment vertical="top" wrapText="1"/>
    </xf>
    <xf numFmtId="49" fontId="77" fillId="35" borderId="10" xfId="0" applyNumberFormat="1" applyFont="1" applyFill="1" applyBorder="1" applyAlignment="1">
      <alignment horizontal="right" vertical="center" wrapText="1"/>
    </xf>
    <xf numFmtId="1" fontId="77" fillId="35" borderId="10" xfId="0" applyNumberFormat="1" applyFont="1" applyFill="1" applyBorder="1" applyAlignment="1">
      <alignment horizontal="right" vertical="center" wrapText="1"/>
    </xf>
    <xf numFmtId="0" fontId="77" fillId="35" borderId="10" xfId="0" applyNumberFormat="1" applyFont="1" applyFill="1" applyBorder="1" applyAlignment="1">
      <alignment horizontal="right" vertical="center" wrapText="1"/>
    </xf>
    <xf numFmtId="174" fontId="83" fillId="35" borderId="10" xfId="0" applyNumberFormat="1" applyFont="1" applyFill="1" applyBorder="1" applyAlignment="1">
      <alignment horizontal="right" vertical="center" wrapText="1"/>
    </xf>
    <xf numFmtId="0" fontId="77" fillId="33" borderId="10" xfId="0" applyNumberFormat="1" applyFont="1" applyFill="1" applyBorder="1" applyAlignment="1">
      <alignment vertical="top" wrapText="1"/>
    </xf>
    <xf numFmtId="49" fontId="77" fillId="0" borderId="10" xfId="0" applyNumberFormat="1" applyFont="1" applyBorder="1" applyAlignment="1">
      <alignment horizontal="right" vertical="center" wrapText="1"/>
    </xf>
    <xf numFmtId="49" fontId="77" fillId="0" borderId="10" xfId="0" applyNumberFormat="1" applyFont="1" applyFill="1" applyBorder="1" applyAlignment="1">
      <alignment horizontal="right" vertical="center" wrapText="1"/>
    </xf>
    <xf numFmtId="1" fontId="77" fillId="0" borderId="10" xfId="0" applyNumberFormat="1" applyFont="1" applyFill="1" applyBorder="1" applyAlignment="1">
      <alignment horizontal="right" vertical="center" wrapText="1"/>
    </xf>
    <xf numFmtId="0" fontId="77" fillId="0" borderId="10" xfId="0" applyNumberFormat="1" applyFont="1" applyBorder="1" applyAlignment="1">
      <alignment horizontal="right" vertical="center" wrapText="1"/>
    </xf>
    <xf numFmtId="174" fontId="83" fillId="0" borderId="10" xfId="0" applyNumberFormat="1" applyFont="1" applyBorder="1" applyAlignment="1">
      <alignment horizontal="right" vertical="center" wrapText="1"/>
    </xf>
    <xf numFmtId="14" fontId="0" fillId="0" borderId="0" xfId="0" applyNumberFormat="1" applyFont="1" applyAlignment="1">
      <alignment horizontal="center"/>
    </xf>
    <xf numFmtId="174" fontId="7" fillId="13" borderId="10" xfId="0" applyNumberFormat="1" applyFont="1" applyFill="1" applyBorder="1" applyAlignment="1">
      <alignment horizontal="right" vertical="center" wrapText="1"/>
    </xf>
    <xf numFmtId="174" fontId="7" fillId="8" borderId="10" xfId="0" applyNumberFormat="1" applyFont="1" applyFill="1" applyBorder="1" applyAlignment="1">
      <alignment horizontal="right" vertical="center" wrapText="1"/>
    </xf>
    <xf numFmtId="174" fontId="14" fillId="33" borderId="10" xfId="0" applyNumberFormat="1" applyFont="1" applyFill="1" applyBorder="1" applyAlignment="1">
      <alignment horizontal="right" vertical="center" wrapText="1"/>
    </xf>
    <xf numFmtId="174" fontId="11" fillId="33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72" fontId="11" fillId="0" borderId="15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9" fillId="0" borderId="0" xfId="0" applyNumberFormat="1" applyFont="1" applyAlignment="1">
      <alignment horizontal="center" wrapText="1"/>
    </xf>
    <xf numFmtId="172" fontId="11" fillId="33" borderId="15" xfId="0" applyNumberFormat="1" applyFont="1" applyFill="1" applyBorder="1" applyAlignment="1">
      <alignment horizontal="right" wrapText="1"/>
    </xf>
    <xf numFmtId="0" fontId="9" fillId="33" borderId="0" xfId="0" applyNumberFormat="1" applyFont="1" applyFill="1" applyAlignment="1">
      <alignment horizontal="center" wrapText="1"/>
    </xf>
    <xf numFmtId="0" fontId="12" fillId="34" borderId="15" xfId="53" applyFont="1" applyFill="1" applyBorder="1" applyAlignment="1">
      <alignment horizontal="right"/>
      <protection/>
    </xf>
    <xf numFmtId="0" fontId="9" fillId="34" borderId="0" xfId="53" applyFont="1" applyFill="1" applyAlignment="1">
      <alignment horizontal="right"/>
      <protection/>
    </xf>
    <xf numFmtId="0" fontId="9" fillId="34" borderId="0" xfId="53" applyFont="1" applyFill="1" applyAlignment="1">
      <alignment horizontal="center" vertical="center" wrapText="1" shrinkToFit="1"/>
      <protection/>
    </xf>
    <xf numFmtId="172" fontId="11" fillId="33" borderId="15" xfId="0" applyNumberFormat="1" applyFont="1" applyFill="1" applyBorder="1" applyAlignment="1">
      <alignment horizontal="right" vertical="top" wrapText="1"/>
    </xf>
    <xf numFmtId="172" fontId="6" fillId="33" borderId="15" xfId="0" applyNumberFormat="1" applyFont="1" applyFill="1" applyBorder="1" applyAlignment="1">
      <alignment horizontal="right" vertical="top" wrapText="1"/>
    </xf>
    <xf numFmtId="0" fontId="2" fillId="0" borderId="0" xfId="54" applyFont="1" applyBorder="1" applyAlignment="1" applyProtection="1">
      <alignment horizontal="left"/>
      <protection/>
    </xf>
    <xf numFmtId="0" fontId="2" fillId="0" borderId="0" xfId="54" applyFont="1" applyBorder="1" applyAlignment="1" applyProtection="1">
      <alignment horizontal="left" vertical="top" wrapText="1"/>
      <protection/>
    </xf>
    <xf numFmtId="0" fontId="0" fillId="0" borderId="0" xfId="54" applyFont="1" applyBorder="1" applyAlignment="1" applyProtection="1">
      <alignment horizontal="left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1\&#1084;&#1086;&#1080;%20&#1076;&#1086;&#1082;&#1091;&#1084;&#1077;&#1085;&#1090;&#1099;\&#1052;&#1086;&#1080;%20&#1076;&#1086;&#1082;&#1091;&#1084;&#1077;&#1085;&#1090;&#1099;\2019\&#1044;&#1091;&#1084;&#1072;%202019\&#1058;&#1072;&#1073;&#1083;&#1080;&#1094;&#1072;%20&#8470;7,8,10,12,13%20(2019-2021)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№10"/>
      <sheetName val="Таблица №8"/>
      <sheetName val="Таблица №7"/>
      <sheetName val="Таблица №12"/>
      <sheetName val="Таблица №13"/>
      <sheetName val="02 ЖКХ на 01.01.2019"/>
    </sheetNames>
    <sheetDataSet>
      <sheetData sheetId="0">
        <row r="134">
          <cell r="A134" t="str">
            <v>Подпрограмма «Строительство, реконструкция и ремонт объектов муниципальной собственности Алексеевского муниципального района»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15"/>
  <sheetViews>
    <sheetView showGridLines="0" zoomScale="94" zoomScaleNormal="94" zoomScalePageLayoutView="0" workbookViewId="0" topLeftCell="A1">
      <pane ySplit="9" topLeftCell="A327" activePane="bottomLeft" state="frozen"/>
      <selection pane="topLeft" activeCell="A1" sqref="A1"/>
      <selection pane="bottomLeft" activeCell="H313" sqref="H313"/>
    </sheetView>
  </sheetViews>
  <sheetFormatPr defaultColWidth="9.140625" defaultRowHeight="12.75" outlineLevelRow="5"/>
  <cols>
    <col min="1" max="1" width="54.421875" style="7" customWidth="1"/>
    <col min="2" max="2" width="5.140625" style="12" customWidth="1"/>
    <col min="3" max="3" width="6.00390625" style="12" customWidth="1"/>
    <col min="4" max="4" width="4.57421875" style="26" customWidth="1"/>
    <col min="5" max="5" width="3.8515625" style="31" customWidth="1"/>
    <col min="6" max="6" width="6.00390625" style="11" customWidth="1"/>
    <col min="7" max="7" width="15.421875" style="2" customWidth="1"/>
    <col min="8" max="9" width="15.7109375" style="2" customWidth="1"/>
    <col min="10" max="10" width="15.8515625" style="2" customWidth="1"/>
    <col min="11" max="11" width="13.421875" style="2" customWidth="1"/>
    <col min="12" max="12" width="14.00390625" style="2" customWidth="1"/>
    <col min="13" max="13" width="13.57421875" style="2" customWidth="1"/>
    <col min="14" max="16384" width="9.140625" style="2" customWidth="1"/>
  </cols>
  <sheetData>
    <row r="1" spans="5:9" ht="18">
      <c r="E1" s="27"/>
      <c r="F1" s="22"/>
      <c r="G1" s="299"/>
      <c r="H1" s="299"/>
      <c r="I1" s="299"/>
    </row>
    <row r="2" spans="5:9" ht="18.75">
      <c r="E2" s="27"/>
      <c r="F2" s="23"/>
      <c r="G2" s="299"/>
      <c r="H2" s="299"/>
      <c r="I2" s="299"/>
    </row>
    <row r="3" spans="5:9" ht="18.75">
      <c r="E3" s="27"/>
      <c r="F3" s="23"/>
      <c r="G3" s="299"/>
      <c r="H3" s="299"/>
      <c r="I3" s="299"/>
    </row>
    <row r="4" spans="5:9" ht="18.75" customHeight="1">
      <c r="E4" s="23"/>
      <c r="F4" s="23"/>
      <c r="G4" s="299"/>
      <c r="H4" s="299"/>
      <c r="I4" s="299"/>
    </row>
    <row r="5" spans="1:6" ht="18.75">
      <c r="A5" s="8"/>
      <c r="B5" s="1"/>
      <c r="C5" s="1"/>
      <c r="D5" s="28"/>
      <c r="E5" s="301"/>
      <c r="F5" s="301"/>
    </row>
    <row r="6" spans="1:9" ht="33.75" customHeight="1">
      <c r="A6" s="302" t="s">
        <v>388</v>
      </c>
      <c r="B6" s="302"/>
      <c r="C6" s="302"/>
      <c r="D6" s="302"/>
      <c r="E6" s="302"/>
      <c r="F6" s="302"/>
      <c r="G6" s="302"/>
      <c r="H6" s="302"/>
      <c r="I6" s="302"/>
    </row>
    <row r="7" spans="1:6" ht="12.75">
      <c r="A7" s="6"/>
      <c r="B7" s="3"/>
      <c r="C7" s="3"/>
      <c r="D7" s="29"/>
      <c r="E7" s="30"/>
      <c r="F7" s="9"/>
    </row>
    <row r="8" spans="1:9" ht="12.75">
      <c r="A8" s="6"/>
      <c r="B8" s="3"/>
      <c r="C8" s="3"/>
      <c r="D8" s="29"/>
      <c r="E8" s="30"/>
      <c r="F8" s="9"/>
      <c r="G8" s="300"/>
      <c r="H8" s="300"/>
      <c r="I8" s="223" t="s">
        <v>317</v>
      </c>
    </row>
    <row r="9" spans="1:12" ht="91.5" customHeight="1">
      <c r="A9" s="25" t="s">
        <v>1</v>
      </c>
      <c r="B9" s="269" t="s">
        <v>194</v>
      </c>
      <c r="C9" s="270" t="s">
        <v>195</v>
      </c>
      <c r="D9" s="277" t="s">
        <v>240</v>
      </c>
      <c r="E9" s="266" t="s">
        <v>8</v>
      </c>
      <c r="F9" s="267" t="s">
        <v>170</v>
      </c>
      <c r="G9" s="40" t="s">
        <v>297</v>
      </c>
      <c r="H9" s="40" t="s">
        <v>440</v>
      </c>
      <c r="I9" s="40" t="s">
        <v>439</v>
      </c>
      <c r="J9" s="2">
        <v>35902.85</v>
      </c>
      <c r="K9" s="2">
        <v>31330.5</v>
      </c>
      <c r="L9" s="2">
        <v>31330.5</v>
      </c>
    </row>
    <row r="10" spans="1:12" ht="15.75" outlineLevel="1">
      <c r="A10" s="95" t="s">
        <v>26</v>
      </c>
      <c r="B10" s="114" t="s">
        <v>27</v>
      </c>
      <c r="C10" s="114"/>
      <c r="D10" s="114"/>
      <c r="E10" s="115" t="s">
        <v>0</v>
      </c>
      <c r="F10" s="116"/>
      <c r="G10" s="296">
        <f>SUM(G11)</f>
        <v>519.38223</v>
      </c>
      <c r="H10" s="296">
        <f>SUM(H11)</f>
        <v>519.38223</v>
      </c>
      <c r="I10" s="163">
        <f aca="true" t="shared" si="0" ref="I10:I70">SUM(H10/G10)*100</f>
        <v>100</v>
      </c>
      <c r="J10" s="32">
        <f>SUM(G10+G18+G28+G33-6.4428-245.5572)</f>
        <v>35510.75051</v>
      </c>
      <c r="K10" s="32">
        <f>SUM(H10+H18+H28+H33)</f>
        <v>35762.75051</v>
      </c>
      <c r="L10" s="32">
        <f>SUM(I10+I18+I28+I33)</f>
        <v>400</v>
      </c>
    </row>
    <row r="11" spans="1:9" ht="15.75" outlineLevel="1">
      <c r="A11" s="96" t="s">
        <v>98</v>
      </c>
      <c r="B11" s="117" t="s">
        <v>27</v>
      </c>
      <c r="C11" s="117" t="s">
        <v>41</v>
      </c>
      <c r="D11" s="117"/>
      <c r="E11" s="118"/>
      <c r="F11" s="119"/>
      <c r="G11" s="50">
        <f>SUM(G12)</f>
        <v>519.38223</v>
      </c>
      <c r="H11" s="50">
        <f>SUM(H12)</f>
        <v>519.38223</v>
      </c>
      <c r="I11" s="163">
        <f t="shared" si="0"/>
        <v>100</v>
      </c>
    </row>
    <row r="12" spans="1:12" ht="38.25" customHeight="1" outlineLevel="2">
      <c r="A12" s="96" t="s">
        <v>25</v>
      </c>
      <c r="B12" s="117" t="s">
        <v>27</v>
      </c>
      <c r="C12" s="117" t="s">
        <v>28</v>
      </c>
      <c r="D12" s="117"/>
      <c r="E12" s="118"/>
      <c r="F12" s="119"/>
      <c r="G12" s="50">
        <f>SUM(G13+G16)</f>
        <v>519.38223</v>
      </c>
      <c r="H12" s="50">
        <f>SUM(H13+H16)</f>
        <v>519.38223</v>
      </c>
      <c r="I12" s="163">
        <f t="shared" si="0"/>
        <v>100</v>
      </c>
      <c r="J12" s="184">
        <f>SUM(J9-J10)</f>
        <v>392.0994900000005</v>
      </c>
      <c r="K12" s="184">
        <f>SUM(K9-K10)</f>
        <v>-4432.250509999998</v>
      </c>
      <c r="L12" s="184">
        <f>SUM(L9-L10)</f>
        <v>30930.5</v>
      </c>
    </row>
    <row r="13" spans="1:9" ht="23.25" customHeight="1" outlineLevel="2">
      <c r="A13" s="96" t="s">
        <v>101</v>
      </c>
      <c r="B13" s="117" t="s">
        <v>27</v>
      </c>
      <c r="C13" s="117" t="s">
        <v>28</v>
      </c>
      <c r="D13" s="117" t="s">
        <v>11</v>
      </c>
      <c r="E13" s="118" t="s">
        <v>9</v>
      </c>
      <c r="F13" s="119"/>
      <c r="G13" s="50">
        <f>SUM(G14:G15)</f>
        <v>519.38223</v>
      </c>
      <c r="H13" s="50">
        <f>SUM(H14:H15)</f>
        <v>519.38223</v>
      </c>
      <c r="I13" s="163">
        <f t="shared" si="0"/>
        <v>100</v>
      </c>
    </row>
    <row r="14" spans="1:10" ht="51" customHeight="1" outlineLevel="2">
      <c r="A14" s="97" t="s">
        <v>99</v>
      </c>
      <c r="B14" s="120" t="s">
        <v>27</v>
      </c>
      <c r="C14" s="120" t="s">
        <v>28</v>
      </c>
      <c r="D14" s="121" t="s">
        <v>11</v>
      </c>
      <c r="E14" s="122" t="s">
        <v>9</v>
      </c>
      <c r="F14" s="123">
        <v>100</v>
      </c>
      <c r="G14" s="51">
        <f>373.4+16.6+83.5-1.2612-14.11777</f>
        <v>458.12103</v>
      </c>
      <c r="H14" s="51">
        <f>373.4+16.6+83.5-1.2612-14.11777</f>
        <v>458.12103</v>
      </c>
      <c r="I14" s="163">
        <f t="shared" si="0"/>
        <v>100</v>
      </c>
      <c r="J14" s="253"/>
    </row>
    <row r="15" spans="1:9" s="4" customFormat="1" ht="24" outlineLevel="3">
      <c r="A15" s="97" t="s">
        <v>100</v>
      </c>
      <c r="B15" s="120" t="s">
        <v>27</v>
      </c>
      <c r="C15" s="120" t="s">
        <v>28</v>
      </c>
      <c r="D15" s="121" t="s">
        <v>11</v>
      </c>
      <c r="E15" s="122">
        <v>0</v>
      </c>
      <c r="F15" s="123">
        <v>200</v>
      </c>
      <c r="G15" s="51">
        <f>57.5+10.4-7.9+1.2612</f>
        <v>61.26120000000001</v>
      </c>
      <c r="H15" s="51">
        <f>57.5+10.4-7.9+1.2612</f>
        <v>61.26120000000001</v>
      </c>
      <c r="I15" s="163">
        <f t="shared" si="0"/>
        <v>100</v>
      </c>
    </row>
    <row r="16" spans="1:9" s="4" customFormat="1" ht="0.75" customHeight="1" hidden="1" outlineLevel="3">
      <c r="A16" s="96" t="s">
        <v>171</v>
      </c>
      <c r="B16" s="117" t="s">
        <v>27</v>
      </c>
      <c r="C16" s="117" t="s">
        <v>28</v>
      </c>
      <c r="D16" s="117" t="s">
        <v>16</v>
      </c>
      <c r="E16" s="118">
        <v>0</v>
      </c>
      <c r="F16" s="119"/>
      <c r="G16" s="52">
        <f>SUM(G17)</f>
        <v>0</v>
      </c>
      <c r="H16" s="52">
        <f>SUM(H17)</f>
        <v>0</v>
      </c>
      <c r="I16" s="163" t="e">
        <f t="shared" si="0"/>
        <v>#DIV/0!</v>
      </c>
    </row>
    <row r="17" spans="1:9" s="4" customFormat="1" ht="15.75" hidden="1" outlineLevel="3">
      <c r="A17" s="97" t="s">
        <v>142</v>
      </c>
      <c r="B17" s="120" t="s">
        <v>27</v>
      </c>
      <c r="C17" s="120" t="s">
        <v>28</v>
      </c>
      <c r="D17" s="121" t="s">
        <v>16</v>
      </c>
      <c r="E17" s="122">
        <v>0</v>
      </c>
      <c r="F17" s="123">
        <v>800</v>
      </c>
      <c r="G17" s="51">
        <f>0.05+0.05-0.1</f>
        <v>0</v>
      </c>
      <c r="H17" s="51">
        <f>0.05+0.05-0.1</f>
        <v>0</v>
      </c>
      <c r="I17" s="163" t="e">
        <f t="shared" si="0"/>
        <v>#DIV/0!</v>
      </c>
    </row>
    <row r="18" spans="1:10" s="4" customFormat="1" ht="24" customHeight="1" outlineLevel="3">
      <c r="A18" s="95" t="s">
        <v>328</v>
      </c>
      <c r="B18" s="114" t="s">
        <v>30</v>
      </c>
      <c r="C18" s="114"/>
      <c r="D18" s="114"/>
      <c r="E18" s="115"/>
      <c r="F18" s="116"/>
      <c r="G18" s="296">
        <f>SUM(G19)</f>
        <v>1611.92499</v>
      </c>
      <c r="H18" s="296">
        <f>SUM(H19)</f>
        <v>1611.92499</v>
      </c>
      <c r="I18" s="163">
        <f t="shared" si="0"/>
        <v>100</v>
      </c>
      <c r="J18" s="169" t="e">
        <f>SUM(#REF!+#REF!)</f>
        <v>#REF!</v>
      </c>
    </row>
    <row r="19" spans="1:9" s="4" customFormat="1" ht="15.75" outlineLevel="3">
      <c r="A19" s="96" t="s">
        <v>98</v>
      </c>
      <c r="B19" s="117" t="s">
        <v>30</v>
      </c>
      <c r="C19" s="117" t="s">
        <v>41</v>
      </c>
      <c r="D19" s="124"/>
      <c r="E19" s="125"/>
      <c r="F19" s="126"/>
      <c r="G19" s="50">
        <f>SUM(G20)</f>
        <v>1611.92499</v>
      </c>
      <c r="H19" s="50">
        <f>SUM(H20)</f>
        <v>1611.92499</v>
      </c>
      <c r="I19" s="163">
        <f t="shared" si="0"/>
        <v>100</v>
      </c>
    </row>
    <row r="20" spans="1:9" s="4" customFormat="1" ht="29.25" customHeight="1" outlineLevel="3">
      <c r="A20" s="96" t="s">
        <v>32</v>
      </c>
      <c r="B20" s="117" t="s">
        <v>30</v>
      </c>
      <c r="C20" s="117" t="s">
        <v>31</v>
      </c>
      <c r="D20" s="117"/>
      <c r="E20" s="118"/>
      <c r="F20" s="119"/>
      <c r="G20" s="50">
        <f>SUM(G21+G24)</f>
        <v>1611.92499</v>
      </c>
      <c r="H20" s="50">
        <f>SUM(H21+H24)</f>
        <v>1611.92499</v>
      </c>
      <c r="I20" s="163">
        <f t="shared" si="0"/>
        <v>100</v>
      </c>
    </row>
    <row r="21" spans="1:9" s="4" customFormat="1" ht="29.25" customHeight="1" outlineLevel="3">
      <c r="A21" s="96" t="s">
        <v>101</v>
      </c>
      <c r="B21" s="117" t="s">
        <v>30</v>
      </c>
      <c r="C21" s="117" t="s">
        <v>31</v>
      </c>
      <c r="D21" s="117" t="s">
        <v>11</v>
      </c>
      <c r="E21" s="118" t="s">
        <v>9</v>
      </c>
      <c r="F21" s="119"/>
      <c r="G21" s="50">
        <f>SUM(G22:G23)</f>
        <v>1606.92499</v>
      </c>
      <c r="H21" s="50">
        <f>SUM(H22:H23)</f>
        <v>1606.92499</v>
      </c>
      <c r="I21" s="163">
        <f t="shared" si="0"/>
        <v>100</v>
      </c>
    </row>
    <row r="22" spans="1:9" s="4" customFormat="1" ht="45" customHeight="1" outlineLevel="3">
      <c r="A22" s="97" t="s">
        <v>99</v>
      </c>
      <c r="B22" s="120" t="s">
        <v>30</v>
      </c>
      <c r="C22" s="120" t="s">
        <v>31</v>
      </c>
      <c r="D22" s="121" t="s">
        <v>11</v>
      </c>
      <c r="E22" s="122" t="s">
        <v>9</v>
      </c>
      <c r="F22" s="123">
        <v>100</v>
      </c>
      <c r="G22" s="51">
        <f>1460.8-41-100+25.3-40+321.9+0.5-20.57501</f>
        <v>1606.92499</v>
      </c>
      <c r="H22" s="51">
        <f>1460.8-41-100+25.3-40+321.9+0.5-20.57501</f>
        <v>1606.92499</v>
      </c>
      <c r="I22" s="163">
        <f t="shared" si="0"/>
        <v>100</v>
      </c>
    </row>
    <row r="23" spans="1:9" s="4" customFormat="1" ht="24" outlineLevel="3">
      <c r="A23" s="97" t="s">
        <v>100</v>
      </c>
      <c r="B23" s="120" t="s">
        <v>30</v>
      </c>
      <c r="C23" s="120" t="s">
        <v>31</v>
      </c>
      <c r="D23" s="121" t="s">
        <v>11</v>
      </c>
      <c r="E23" s="122">
        <v>0</v>
      </c>
      <c r="F23" s="123">
        <v>200</v>
      </c>
      <c r="G23" s="51">
        <f>24.7+24.7-29.4-20</f>
        <v>0</v>
      </c>
      <c r="H23" s="51">
        <f>24.7+24.7-29.4-20</f>
        <v>0</v>
      </c>
      <c r="I23" s="163">
        <v>0</v>
      </c>
    </row>
    <row r="24" spans="1:9" s="4" customFormat="1" ht="24.75" customHeight="1" outlineLevel="3">
      <c r="A24" s="96" t="s">
        <v>171</v>
      </c>
      <c r="B24" s="117" t="s">
        <v>30</v>
      </c>
      <c r="C24" s="117" t="s">
        <v>31</v>
      </c>
      <c r="D24" s="117" t="s">
        <v>16</v>
      </c>
      <c r="E24" s="118">
        <v>0</v>
      </c>
      <c r="F24" s="119"/>
      <c r="G24" s="52">
        <f>SUM(G25)</f>
        <v>5</v>
      </c>
      <c r="H24" s="52">
        <f>SUM(H25)</f>
        <v>5</v>
      </c>
      <c r="I24" s="163">
        <f t="shared" si="0"/>
        <v>100</v>
      </c>
    </row>
    <row r="25" spans="1:9" s="4" customFormat="1" ht="15.75" outlineLevel="3">
      <c r="A25" s="97" t="s">
        <v>142</v>
      </c>
      <c r="B25" s="120" t="s">
        <v>30</v>
      </c>
      <c r="C25" s="120" t="s">
        <v>31</v>
      </c>
      <c r="D25" s="121" t="s">
        <v>16</v>
      </c>
      <c r="E25" s="122">
        <v>0</v>
      </c>
      <c r="F25" s="123">
        <v>800</v>
      </c>
      <c r="G25" s="51">
        <f>5.5-0.5</f>
        <v>5</v>
      </c>
      <c r="H25" s="51">
        <f>5.5-0.5</f>
        <v>5</v>
      </c>
      <c r="I25" s="163">
        <f t="shared" si="0"/>
        <v>100</v>
      </c>
    </row>
    <row r="26" spans="1:9" s="4" customFormat="1" ht="17.25" customHeight="1" outlineLevel="3">
      <c r="A26" s="95" t="s">
        <v>264</v>
      </c>
      <c r="B26" s="114" t="s">
        <v>39</v>
      </c>
      <c r="C26" s="114"/>
      <c r="D26" s="114"/>
      <c r="E26" s="115"/>
      <c r="F26" s="116"/>
      <c r="G26" s="49">
        <f>SUM(G27+G98+G103+G110+G134+G154+G158+G255+G284+G318+G330+G335+G339+G279)</f>
        <v>463165.8822199999</v>
      </c>
      <c r="H26" s="49">
        <f>SUM(H27+H98+H103+H110+H134+H154+H158+H255+H284+H318+H330+H335+H339+H279)</f>
        <v>455095.84284</v>
      </c>
      <c r="I26" s="163">
        <f t="shared" si="0"/>
        <v>98.25763518216856</v>
      </c>
    </row>
    <row r="27" spans="1:9" s="4" customFormat="1" ht="15.75" outlineLevel="3">
      <c r="A27" s="96" t="s">
        <v>98</v>
      </c>
      <c r="B27" s="117" t="s">
        <v>39</v>
      </c>
      <c r="C27" s="117" t="s">
        <v>41</v>
      </c>
      <c r="D27" s="117"/>
      <c r="E27" s="118"/>
      <c r="F27" s="119"/>
      <c r="G27" s="50">
        <f>SUM(G28+G31+G55+G59+G62+G51)</f>
        <v>87121.80293999998</v>
      </c>
      <c r="H27" s="50">
        <f>SUM(H28+H31+H55+H59+H62+H51)</f>
        <v>87121.80293999998</v>
      </c>
      <c r="I27" s="163">
        <f t="shared" si="0"/>
        <v>100</v>
      </c>
    </row>
    <row r="28" spans="1:9" s="4" customFormat="1" ht="24" outlineLevel="3">
      <c r="A28" s="98" t="s">
        <v>33</v>
      </c>
      <c r="B28" s="127" t="s">
        <v>39</v>
      </c>
      <c r="C28" s="127" t="s">
        <v>42</v>
      </c>
      <c r="D28" s="127"/>
      <c r="E28" s="128"/>
      <c r="F28" s="129"/>
      <c r="G28" s="53">
        <f>SUM(G30)</f>
        <v>2005.7305999999999</v>
      </c>
      <c r="H28" s="53">
        <f>SUM(H30)</f>
        <v>2005.7305999999999</v>
      </c>
      <c r="I28" s="163">
        <f t="shared" si="0"/>
        <v>100</v>
      </c>
    </row>
    <row r="29" spans="1:9" s="4" customFormat="1" ht="27.75" customHeight="1" outlineLevel="3">
      <c r="A29" s="96" t="s">
        <v>101</v>
      </c>
      <c r="B29" s="117" t="s">
        <v>39</v>
      </c>
      <c r="C29" s="117" t="s">
        <v>42</v>
      </c>
      <c r="D29" s="117" t="s">
        <v>11</v>
      </c>
      <c r="E29" s="118" t="s">
        <v>9</v>
      </c>
      <c r="F29" s="119"/>
      <c r="G29" s="50">
        <f>SUM(G30)</f>
        <v>2005.7305999999999</v>
      </c>
      <c r="H29" s="50">
        <f>SUM(H30)</f>
        <v>2005.7305999999999</v>
      </c>
      <c r="I29" s="163">
        <f t="shared" si="0"/>
        <v>100</v>
      </c>
    </row>
    <row r="30" spans="1:9" ht="48.75" customHeight="1" outlineLevel="1">
      <c r="A30" s="97" t="s">
        <v>99</v>
      </c>
      <c r="B30" s="120" t="s">
        <v>39</v>
      </c>
      <c r="C30" s="120" t="s">
        <v>42</v>
      </c>
      <c r="D30" s="121" t="s">
        <v>11</v>
      </c>
      <c r="E30" s="122">
        <v>0</v>
      </c>
      <c r="F30" s="123">
        <v>100</v>
      </c>
      <c r="G30" s="51">
        <f>1367.1+100+242.9+370+6.4428-80.7122</f>
        <v>2005.7305999999999</v>
      </c>
      <c r="H30" s="51">
        <f>1367.1+100+242.9+370+6.4428-80.7122</f>
        <v>2005.7305999999999</v>
      </c>
      <c r="I30" s="163">
        <f t="shared" si="0"/>
        <v>100</v>
      </c>
    </row>
    <row r="31" spans="1:9" ht="36.75" customHeight="1" outlineLevel="2">
      <c r="A31" s="99" t="s">
        <v>34</v>
      </c>
      <c r="B31" s="127" t="s">
        <v>39</v>
      </c>
      <c r="C31" s="127" t="s">
        <v>40</v>
      </c>
      <c r="D31" s="127"/>
      <c r="E31" s="128"/>
      <c r="F31" s="129"/>
      <c r="G31" s="53">
        <f>SUM(G32+G49)</f>
        <v>33759.30369</v>
      </c>
      <c r="H31" s="53">
        <f>SUM(H32+H49)</f>
        <v>33759.30369</v>
      </c>
      <c r="I31" s="163">
        <f t="shared" si="0"/>
        <v>100</v>
      </c>
    </row>
    <row r="32" spans="1:9" s="4" customFormat="1" ht="27" customHeight="1" outlineLevel="3">
      <c r="A32" s="96" t="s">
        <v>101</v>
      </c>
      <c r="B32" s="117" t="s">
        <v>39</v>
      </c>
      <c r="C32" s="117" t="s">
        <v>40</v>
      </c>
      <c r="D32" s="117" t="s">
        <v>11</v>
      </c>
      <c r="E32" s="118">
        <v>0</v>
      </c>
      <c r="F32" s="119"/>
      <c r="G32" s="50">
        <f>SUM(G33+G36)</f>
        <v>33728.81269</v>
      </c>
      <c r="H32" s="50">
        <f>SUM(H33+H36)</f>
        <v>33728.81269</v>
      </c>
      <c r="I32" s="163">
        <f t="shared" si="0"/>
        <v>100</v>
      </c>
    </row>
    <row r="33" spans="1:9" ht="15.75" outlineLevel="1">
      <c r="A33" s="100" t="s">
        <v>3</v>
      </c>
      <c r="B33" s="117" t="s">
        <v>39</v>
      </c>
      <c r="C33" s="117" t="s">
        <v>40</v>
      </c>
      <c r="D33" s="117" t="s">
        <v>11</v>
      </c>
      <c r="E33" s="118">
        <v>0</v>
      </c>
      <c r="F33" s="119"/>
      <c r="G33" s="50">
        <f>SUM(G34:G35)</f>
        <v>31625.71269</v>
      </c>
      <c r="H33" s="50">
        <f>SUM(H34:H35)</f>
        <v>31625.71269</v>
      </c>
      <c r="I33" s="163">
        <f t="shared" si="0"/>
        <v>100</v>
      </c>
    </row>
    <row r="34" spans="1:9" ht="49.5" customHeight="1" outlineLevel="2">
      <c r="A34" s="101" t="s">
        <v>99</v>
      </c>
      <c r="B34" s="120" t="s">
        <v>39</v>
      </c>
      <c r="C34" s="120" t="s">
        <v>40</v>
      </c>
      <c r="D34" s="121" t="s">
        <v>11</v>
      </c>
      <c r="E34" s="122">
        <v>0</v>
      </c>
      <c r="F34" s="123">
        <v>100</v>
      </c>
      <c r="G34" s="51">
        <f>24910+418-30-242.9-14.8-3042.9+1000+40+559.6+2242.9+3996.95+245.5572+14-30.79252</f>
        <v>30065.61468</v>
      </c>
      <c r="H34" s="51">
        <f>24910+418-30-242.9-14.8-3042.9+1000+40+559.6+2242.9+3996.95+245.5572+14-30.79252</f>
        <v>30065.61468</v>
      </c>
      <c r="I34" s="163">
        <f t="shared" si="0"/>
        <v>100</v>
      </c>
    </row>
    <row r="35" spans="1:9" ht="24">
      <c r="A35" s="101" t="s">
        <v>100</v>
      </c>
      <c r="B35" s="120" t="s">
        <v>39</v>
      </c>
      <c r="C35" s="120" t="s">
        <v>40</v>
      </c>
      <c r="D35" s="121" t="s">
        <v>11</v>
      </c>
      <c r="E35" s="122">
        <v>0</v>
      </c>
      <c r="F35" s="123">
        <v>200</v>
      </c>
      <c r="G35" s="51">
        <f>1540.9-10+25+1166.3-200+7.9+29.4+0.1-559.6-200-14-225.90199</f>
        <v>1560.09801</v>
      </c>
      <c r="H35" s="51">
        <f>1540.9-10+25+1166.3-200+7.9+29.4+0.1-559.6-200-14-225.90199</f>
        <v>1560.09801</v>
      </c>
      <c r="I35" s="163">
        <f t="shared" si="0"/>
        <v>100</v>
      </c>
    </row>
    <row r="36" spans="1:9" ht="23.25" customHeight="1" outlineLevel="2">
      <c r="A36" s="96" t="s">
        <v>101</v>
      </c>
      <c r="B36" s="117" t="s">
        <v>39</v>
      </c>
      <c r="C36" s="117" t="s">
        <v>40</v>
      </c>
      <c r="D36" s="117" t="s">
        <v>11</v>
      </c>
      <c r="E36" s="118" t="s">
        <v>9</v>
      </c>
      <c r="F36" s="119"/>
      <c r="G36" s="54">
        <f>SUM(G37+G40+G43+G46)</f>
        <v>2103.1</v>
      </c>
      <c r="H36" s="54">
        <f>SUM(H37+H40+H43+H46)</f>
        <v>2103.1</v>
      </c>
      <c r="I36" s="163">
        <f t="shared" si="0"/>
        <v>100</v>
      </c>
    </row>
    <row r="37" spans="1:10" ht="31.5" customHeight="1" outlineLevel="1">
      <c r="A37" s="102" t="s">
        <v>102</v>
      </c>
      <c r="B37" s="130" t="s">
        <v>39</v>
      </c>
      <c r="C37" s="130" t="s">
        <v>40</v>
      </c>
      <c r="D37" s="130" t="s">
        <v>11</v>
      </c>
      <c r="E37" s="131" t="s">
        <v>9</v>
      </c>
      <c r="F37" s="132"/>
      <c r="G37" s="55">
        <f>SUM(G38:G39)</f>
        <v>307.7</v>
      </c>
      <c r="H37" s="55">
        <f>SUM(H38:H39)</f>
        <v>307.7</v>
      </c>
      <c r="I37" s="163">
        <f t="shared" si="0"/>
        <v>100</v>
      </c>
      <c r="J37" s="32">
        <f>SUM(G37+G40+G46+G43+G315)-11</f>
        <v>3091.495</v>
      </c>
    </row>
    <row r="38" spans="1:10" ht="42" customHeight="1" outlineLevel="5">
      <c r="A38" s="97" t="s">
        <v>99</v>
      </c>
      <c r="B38" s="120" t="s">
        <v>39</v>
      </c>
      <c r="C38" s="120" t="s">
        <v>40</v>
      </c>
      <c r="D38" s="121" t="s">
        <v>11</v>
      </c>
      <c r="E38" s="122" t="s">
        <v>9</v>
      </c>
      <c r="F38" s="123">
        <v>100</v>
      </c>
      <c r="G38" s="56">
        <v>307.7</v>
      </c>
      <c r="H38" s="56">
        <v>307.7</v>
      </c>
      <c r="I38" s="163">
        <f t="shared" si="0"/>
        <v>100</v>
      </c>
      <c r="J38" s="32">
        <f>SUM(G38+G41+G44+G316)</f>
        <v>2501.88982</v>
      </c>
    </row>
    <row r="39" spans="1:9" ht="24" hidden="1" outlineLevel="5">
      <c r="A39" s="97" t="s">
        <v>100</v>
      </c>
      <c r="B39" s="120" t="s">
        <v>39</v>
      </c>
      <c r="C39" s="120" t="s">
        <v>40</v>
      </c>
      <c r="D39" s="121" t="s">
        <v>11</v>
      </c>
      <c r="E39" s="122" t="s">
        <v>9</v>
      </c>
      <c r="F39" s="123">
        <v>200</v>
      </c>
      <c r="G39" s="56">
        <f>81.8-81.8</f>
        <v>0</v>
      </c>
      <c r="H39" s="56">
        <f>81.8-81.8</f>
        <v>0</v>
      </c>
      <c r="I39" s="163" t="e">
        <f t="shared" si="0"/>
        <v>#DIV/0!</v>
      </c>
    </row>
    <row r="40" spans="1:9" ht="27" customHeight="1" outlineLevel="5">
      <c r="A40" s="102" t="s">
        <v>103</v>
      </c>
      <c r="B40" s="130" t="s">
        <v>39</v>
      </c>
      <c r="C40" s="130" t="s">
        <v>40</v>
      </c>
      <c r="D40" s="130" t="s">
        <v>11</v>
      </c>
      <c r="E40" s="131" t="s">
        <v>9</v>
      </c>
      <c r="F40" s="132"/>
      <c r="G40" s="55">
        <f>SUM(G41:G42)</f>
        <v>1003.4</v>
      </c>
      <c r="H40" s="55">
        <f>SUM(H41:H42)</f>
        <v>1003.4</v>
      </c>
      <c r="I40" s="163">
        <f t="shared" si="0"/>
        <v>100</v>
      </c>
    </row>
    <row r="41" spans="1:9" ht="47.25" customHeight="1" outlineLevel="2">
      <c r="A41" s="97" t="s">
        <v>99</v>
      </c>
      <c r="B41" s="120" t="s">
        <v>39</v>
      </c>
      <c r="C41" s="120" t="s">
        <v>40</v>
      </c>
      <c r="D41" s="121" t="s">
        <v>11</v>
      </c>
      <c r="E41" s="122" t="s">
        <v>9</v>
      </c>
      <c r="F41" s="123">
        <v>100</v>
      </c>
      <c r="G41" s="51">
        <f>688.4-15+5+3+218.65175</f>
        <v>900.05175</v>
      </c>
      <c r="H41" s="51">
        <f>688.4-15+5+3+218.65175</f>
        <v>900.05175</v>
      </c>
      <c r="I41" s="163">
        <f t="shared" si="0"/>
        <v>100</v>
      </c>
    </row>
    <row r="42" spans="1:9" ht="24" outlineLevel="4">
      <c r="A42" s="97" t="s">
        <v>100</v>
      </c>
      <c r="B42" s="120" t="s">
        <v>39</v>
      </c>
      <c r="C42" s="120" t="s">
        <v>40</v>
      </c>
      <c r="D42" s="121" t="s">
        <v>11</v>
      </c>
      <c r="E42" s="122" t="s">
        <v>9</v>
      </c>
      <c r="F42" s="123">
        <v>200</v>
      </c>
      <c r="G42" s="51">
        <f>303-28-75-200+15-5+93.34825</f>
        <v>103.34825</v>
      </c>
      <c r="H42" s="51">
        <f>303-28-75-200+15-5+93.34825</f>
        <v>103.34825</v>
      </c>
      <c r="I42" s="163">
        <f t="shared" si="0"/>
        <v>100</v>
      </c>
    </row>
    <row r="43" spans="1:9" s="16" customFormat="1" ht="33.75" customHeight="1" outlineLevel="5">
      <c r="A43" s="102" t="s">
        <v>249</v>
      </c>
      <c r="B43" s="130" t="s">
        <v>39</v>
      </c>
      <c r="C43" s="130" t="s">
        <v>40</v>
      </c>
      <c r="D43" s="130" t="s">
        <v>11</v>
      </c>
      <c r="E43" s="131" t="s">
        <v>9</v>
      </c>
      <c r="F43" s="132"/>
      <c r="G43" s="55">
        <f>SUM(G44:G45)</f>
        <v>328</v>
      </c>
      <c r="H43" s="55">
        <f>SUM(H44:H45)</f>
        <v>328</v>
      </c>
      <c r="I43" s="163">
        <f t="shared" si="0"/>
        <v>100</v>
      </c>
    </row>
    <row r="44" spans="1:9" ht="45" customHeight="1" outlineLevel="5">
      <c r="A44" s="97" t="s">
        <v>99</v>
      </c>
      <c r="B44" s="120" t="s">
        <v>39</v>
      </c>
      <c r="C44" s="120" t="s">
        <v>40</v>
      </c>
      <c r="D44" s="121" t="s">
        <v>11</v>
      </c>
      <c r="E44" s="122" t="s">
        <v>9</v>
      </c>
      <c r="F44" s="123">
        <v>100</v>
      </c>
      <c r="G44" s="56">
        <v>328</v>
      </c>
      <c r="H44" s="56">
        <v>328</v>
      </c>
      <c r="I44" s="163">
        <f t="shared" si="0"/>
        <v>100</v>
      </c>
    </row>
    <row r="45" spans="1:9" ht="24" hidden="1" outlineLevel="4">
      <c r="A45" s="97" t="s">
        <v>100</v>
      </c>
      <c r="B45" s="120" t="s">
        <v>39</v>
      </c>
      <c r="C45" s="120" t="s">
        <v>40</v>
      </c>
      <c r="D45" s="121" t="s">
        <v>11</v>
      </c>
      <c r="E45" s="122" t="s">
        <v>9</v>
      </c>
      <c r="F45" s="123">
        <v>200</v>
      </c>
      <c r="G45" s="56">
        <v>0</v>
      </c>
      <c r="H45" s="56">
        <v>0</v>
      </c>
      <c r="I45" s="163" t="e">
        <f t="shared" si="0"/>
        <v>#DIV/0!</v>
      </c>
    </row>
    <row r="46" spans="1:9" ht="39" customHeight="1" outlineLevel="5">
      <c r="A46" s="102" t="s">
        <v>257</v>
      </c>
      <c r="B46" s="130" t="s">
        <v>39</v>
      </c>
      <c r="C46" s="130" t="s">
        <v>40</v>
      </c>
      <c r="D46" s="130" t="s">
        <v>11</v>
      </c>
      <c r="E46" s="131" t="s">
        <v>9</v>
      </c>
      <c r="F46" s="132"/>
      <c r="G46" s="55">
        <f>SUM(G47:G48)</f>
        <v>464</v>
      </c>
      <c r="H46" s="55">
        <f>SUM(H47:H48)</f>
        <v>464</v>
      </c>
      <c r="I46" s="163">
        <f t="shared" si="0"/>
        <v>100</v>
      </c>
    </row>
    <row r="47" spans="1:9" ht="48" outlineLevel="5">
      <c r="A47" s="97" t="s">
        <v>99</v>
      </c>
      <c r="B47" s="120" t="s">
        <v>39</v>
      </c>
      <c r="C47" s="120" t="s">
        <v>40</v>
      </c>
      <c r="D47" s="121" t="s">
        <v>11</v>
      </c>
      <c r="E47" s="122" t="s">
        <v>9</v>
      </c>
      <c r="F47" s="123">
        <v>100</v>
      </c>
      <c r="G47" s="51">
        <f>62+11.37799</f>
        <v>73.37799</v>
      </c>
      <c r="H47" s="51">
        <f>62+11.37799</f>
        <v>73.37799</v>
      </c>
      <c r="I47" s="163">
        <f t="shared" si="0"/>
        <v>100</v>
      </c>
    </row>
    <row r="48" spans="1:9" ht="24" outlineLevel="5">
      <c r="A48" s="97" t="s">
        <v>100</v>
      </c>
      <c r="B48" s="120" t="s">
        <v>39</v>
      </c>
      <c r="C48" s="120" t="s">
        <v>40</v>
      </c>
      <c r="D48" s="121" t="s">
        <v>11</v>
      </c>
      <c r="E48" s="122" t="s">
        <v>9</v>
      </c>
      <c r="F48" s="123">
        <v>200</v>
      </c>
      <c r="G48" s="51">
        <f>463.8-62+0.2-11.37799</f>
        <v>390.62201</v>
      </c>
      <c r="H48" s="51">
        <f>463.8-62+0.2-11.37799</f>
        <v>390.62201</v>
      </c>
      <c r="I48" s="163">
        <f t="shared" si="0"/>
        <v>100</v>
      </c>
    </row>
    <row r="49" spans="1:9" ht="36" outlineLevel="2">
      <c r="A49" s="96" t="s">
        <v>277</v>
      </c>
      <c r="B49" s="117" t="s">
        <v>39</v>
      </c>
      <c r="C49" s="117" t="s">
        <v>40</v>
      </c>
      <c r="D49" s="117" t="s">
        <v>2</v>
      </c>
      <c r="E49" s="118">
        <v>0</v>
      </c>
      <c r="F49" s="119"/>
      <c r="G49" s="50">
        <f>SUM(G50)</f>
        <v>30.491</v>
      </c>
      <c r="H49" s="50">
        <f>SUM(H50)</f>
        <v>30.491</v>
      </c>
      <c r="I49" s="163">
        <f t="shared" si="0"/>
        <v>100</v>
      </c>
    </row>
    <row r="50" spans="1:9" ht="24" outlineLevel="2">
      <c r="A50" s="78" t="s">
        <v>100</v>
      </c>
      <c r="B50" s="133" t="s">
        <v>39</v>
      </c>
      <c r="C50" s="133" t="s">
        <v>40</v>
      </c>
      <c r="D50" s="121" t="s">
        <v>2</v>
      </c>
      <c r="E50" s="122">
        <v>0</v>
      </c>
      <c r="F50" s="134">
        <v>200</v>
      </c>
      <c r="G50" s="57">
        <f>50-19.509</f>
        <v>30.491</v>
      </c>
      <c r="H50" s="57">
        <f>50-19.509</f>
        <v>30.491</v>
      </c>
      <c r="I50" s="163">
        <f t="shared" si="0"/>
        <v>100</v>
      </c>
    </row>
    <row r="51" spans="1:9" ht="15.75" outlineLevel="2">
      <c r="A51" s="96" t="s">
        <v>35</v>
      </c>
      <c r="B51" s="117" t="s">
        <v>39</v>
      </c>
      <c r="C51" s="117" t="s">
        <v>43</v>
      </c>
      <c r="D51" s="117"/>
      <c r="E51" s="118"/>
      <c r="F51" s="119"/>
      <c r="G51" s="50">
        <f aca="true" t="shared" si="1" ref="G51:H53">SUM(G52)</f>
        <v>62.2</v>
      </c>
      <c r="H51" s="50">
        <f t="shared" si="1"/>
        <v>62.2</v>
      </c>
      <c r="I51" s="163">
        <f t="shared" si="0"/>
        <v>100</v>
      </c>
    </row>
    <row r="52" spans="1:9" ht="24" outlineLevel="2">
      <c r="A52" s="96" t="s">
        <v>215</v>
      </c>
      <c r="B52" s="117" t="s">
        <v>39</v>
      </c>
      <c r="C52" s="117" t="s">
        <v>43</v>
      </c>
      <c r="D52" s="117" t="s">
        <v>16</v>
      </c>
      <c r="E52" s="118">
        <v>0</v>
      </c>
      <c r="F52" s="119"/>
      <c r="G52" s="50">
        <f t="shared" si="1"/>
        <v>62.2</v>
      </c>
      <c r="H52" s="50">
        <f t="shared" si="1"/>
        <v>62.2</v>
      </c>
      <c r="I52" s="163">
        <f t="shared" si="0"/>
        <v>100</v>
      </c>
    </row>
    <row r="53" spans="1:9" ht="24" outlineLevel="2">
      <c r="A53" s="96" t="s">
        <v>171</v>
      </c>
      <c r="B53" s="117" t="s">
        <v>39</v>
      </c>
      <c r="C53" s="117" t="s">
        <v>43</v>
      </c>
      <c r="D53" s="117" t="s">
        <v>16</v>
      </c>
      <c r="E53" s="118">
        <v>0</v>
      </c>
      <c r="F53" s="119"/>
      <c r="G53" s="50">
        <f t="shared" si="1"/>
        <v>62.2</v>
      </c>
      <c r="H53" s="50">
        <f t="shared" si="1"/>
        <v>62.2</v>
      </c>
      <c r="I53" s="163">
        <f t="shared" si="0"/>
        <v>100</v>
      </c>
    </row>
    <row r="54" spans="1:9" ht="22.5" customHeight="1" outlineLevel="2">
      <c r="A54" s="78" t="s">
        <v>100</v>
      </c>
      <c r="B54" s="133" t="s">
        <v>39</v>
      </c>
      <c r="C54" s="133" t="s">
        <v>43</v>
      </c>
      <c r="D54" s="121" t="s">
        <v>16</v>
      </c>
      <c r="E54" s="122">
        <v>0</v>
      </c>
      <c r="F54" s="134">
        <v>200</v>
      </c>
      <c r="G54" s="57">
        <f>36.4+25.8</f>
        <v>62.2</v>
      </c>
      <c r="H54" s="57">
        <f>36.4+25.8</f>
        <v>62.2</v>
      </c>
      <c r="I54" s="163">
        <f t="shared" si="0"/>
        <v>100</v>
      </c>
    </row>
    <row r="55" spans="1:9" ht="15.75" hidden="1" outlineLevel="2">
      <c r="A55" s="96" t="s">
        <v>36</v>
      </c>
      <c r="B55" s="117" t="s">
        <v>39</v>
      </c>
      <c r="C55" s="117" t="s">
        <v>44</v>
      </c>
      <c r="D55" s="117"/>
      <c r="E55" s="118"/>
      <c r="F55" s="119"/>
      <c r="G55" s="50">
        <f aca="true" t="shared" si="2" ref="G55:H60">SUM(G56)</f>
        <v>0</v>
      </c>
      <c r="H55" s="50">
        <f t="shared" si="2"/>
        <v>0</v>
      </c>
      <c r="I55" s="163" t="e">
        <f t="shared" si="0"/>
        <v>#DIV/0!</v>
      </c>
    </row>
    <row r="56" spans="1:9" ht="15.75" hidden="1" outlineLevel="5">
      <c r="A56" s="96" t="s">
        <v>37</v>
      </c>
      <c r="B56" s="117" t="s">
        <v>39</v>
      </c>
      <c r="C56" s="117" t="s">
        <v>44</v>
      </c>
      <c r="D56" s="117" t="s">
        <v>16</v>
      </c>
      <c r="E56" s="118" t="s">
        <v>9</v>
      </c>
      <c r="F56" s="119"/>
      <c r="G56" s="50">
        <f t="shared" si="2"/>
        <v>0</v>
      </c>
      <c r="H56" s="50">
        <f t="shared" si="2"/>
        <v>0</v>
      </c>
      <c r="I56" s="163" t="e">
        <f t="shared" si="0"/>
        <v>#DIV/0!</v>
      </c>
    </row>
    <row r="57" spans="1:9" ht="24" hidden="1" outlineLevel="2">
      <c r="A57" s="96" t="s">
        <v>171</v>
      </c>
      <c r="B57" s="117" t="s">
        <v>39</v>
      </c>
      <c r="C57" s="117" t="s">
        <v>44</v>
      </c>
      <c r="D57" s="117" t="s">
        <v>16</v>
      </c>
      <c r="E57" s="118" t="s">
        <v>9</v>
      </c>
      <c r="F57" s="119"/>
      <c r="G57" s="50">
        <f t="shared" si="2"/>
        <v>0</v>
      </c>
      <c r="H57" s="50">
        <f t="shared" si="2"/>
        <v>0</v>
      </c>
      <c r="I57" s="163" t="e">
        <f t="shared" si="0"/>
        <v>#DIV/0!</v>
      </c>
    </row>
    <row r="58" spans="1:9" ht="24" hidden="1" outlineLevel="5">
      <c r="A58" s="78" t="s">
        <v>100</v>
      </c>
      <c r="B58" s="120" t="s">
        <v>39</v>
      </c>
      <c r="C58" s="120" t="s">
        <v>44</v>
      </c>
      <c r="D58" s="121" t="s">
        <v>16</v>
      </c>
      <c r="E58" s="122">
        <v>0</v>
      </c>
      <c r="F58" s="123">
        <v>200</v>
      </c>
      <c r="G58" s="51">
        <v>0</v>
      </c>
      <c r="H58" s="51">
        <v>0</v>
      </c>
      <c r="I58" s="163" t="e">
        <f t="shared" si="0"/>
        <v>#DIV/0!</v>
      </c>
    </row>
    <row r="59" spans="1:9" ht="15.75" outlineLevel="1">
      <c r="A59" s="96" t="s">
        <v>38</v>
      </c>
      <c r="B59" s="117" t="s">
        <v>39</v>
      </c>
      <c r="C59" s="117" t="s">
        <v>45</v>
      </c>
      <c r="D59" s="117"/>
      <c r="E59" s="118"/>
      <c r="F59" s="119"/>
      <c r="G59" s="50">
        <f t="shared" si="2"/>
        <v>0</v>
      </c>
      <c r="H59" s="50">
        <f t="shared" si="2"/>
        <v>0</v>
      </c>
      <c r="I59" s="163">
        <v>0</v>
      </c>
    </row>
    <row r="60" spans="1:9" ht="29.25" customHeight="1" outlineLevel="2">
      <c r="A60" s="96" t="s">
        <v>171</v>
      </c>
      <c r="B60" s="117" t="s">
        <v>39</v>
      </c>
      <c r="C60" s="117" t="s">
        <v>45</v>
      </c>
      <c r="D60" s="117" t="s">
        <v>16</v>
      </c>
      <c r="E60" s="118" t="s">
        <v>9</v>
      </c>
      <c r="F60" s="119"/>
      <c r="G60" s="50">
        <f t="shared" si="2"/>
        <v>0</v>
      </c>
      <c r="H60" s="50">
        <f t="shared" si="2"/>
        <v>0</v>
      </c>
      <c r="I60" s="163">
        <v>0</v>
      </c>
    </row>
    <row r="61" spans="1:9" ht="15.75" outlineLevel="2">
      <c r="A61" s="97" t="s">
        <v>142</v>
      </c>
      <c r="B61" s="120" t="s">
        <v>39</v>
      </c>
      <c r="C61" s="120" t="s">
        <v>45</v>
      </c>
      <c r="D61" s="121" t="s">
        <v>16</v>
      </c>
      <c r="E61" s="122" t="s">
        <v>9</v>
      </c>
      <c r="F61" s="123">
        <v>800</v>
      </c>
      <c r="G61" s="51">
        <f>320-320</f>
        <v>0</v>
      </c>
      <c r="H61" s="51">
        <f>320-320</f>
        <v>0</v>
      </c>
      <c r="I61" s="163">
        <v>0</v>
      </c>
    </row>
    <row r="62" spans="1:9" ht="15.75" outlineLevel="2">
      <c r="A62" s="98" t="s">
        <v>46</v>
      </c>
      <c r="B62" s="127" t="s">
        <v>39</v>
      </c>
      <c r="C62" s="127" t="s">
        <v>29</v>
      </c>
      <c r="D62" s="127"/>
      <c r="E62" s="128"/>
      <c r="F62" s="129"/>
      <c r="G62" s="53">
        <f>SUM(G63+G71+G80+G83+G87+G90+G97+G78+G68+G76+G94)</f>
        <v>51294.56864999999</v>
      </c>
      <c r="H62" s="53">
        <f>SUM(H63+H71+H80+H83+H87+H90+H97+H78+H68+H76+H94)</f>
        <v>51294.56864999999</v>
      </c>
      <c r="I62" s="163">
        <f t="shared" si="0"/>
        <v>100</v>
      </c>
    </row>
    <row r="63" spans="1:9" ht="34.5" customHeight="1" outlineLevel="2">
      <c r="A63" s="96" t="s">
        <v>379</v>
      </c>
      <c r="B63" s="117" t="s">
        <v>39</v>
      </c>
      <c r="C63" s="117" t="s">
        <v>29</v>
      </c>
      <c r="D63" s="117" t="s">
        <v>6</v>
      </c>
      <c r="E63" s="118">
        <v>0</v>
      </c>
      <c r="F63" s="119"/>
      <c r="G63" s="50">
        <f>SUM(G66+G64)</f>
        <v>182.9678</v>
      </c>
      <c r="H63" s="50">
        <f>SUM(H66+H64)</f>
        <v>182.9678</v>
      </c>
      <c r="I63" s="163">
        <f t="shared" si="0"/>
        <v>100</v>
      </c>
    </row>
    <row r="64" spans="1:9" ht="24" hidden="1" outlineLevel="2">
      <c r="A64" s="96" t="s">
        <v>219</v>
      </c>
      <c r="B64" s="117" t="s">
        <v>39</v>
      </c>
      <c r="C64" s="117" t="s">
        <v>29</v>
      </c>
      <c r="D64" s="117" t="s">
        <v>6</v>
      </c>
      <c r="E64" s="118">
        <v>3</v>
      </c>
      <c r="F64" s="119"/>
      <c r="G64" s="50">
        <f>SUM(G65:G65)</f>
        <v>0</v>
      </c>
      <c r="H64" s="50">
        <f>SUM(H65:H65)</f>
        <v>0</v>
      </c>
      <c r="I64" s="163" t="e">
        <f t="shared" si="0"/>
        <v>#DIV/0!</v>
      </c>
    </row>
    <row r="65" spans="1:9" ht="24" hidden="1" outlineLevel="2">
      <c r="A65" s="78" t="s">
        <v>172</v>
      </c>
      <c r="B65" s="120" t="s">
        <v>39</v>
      </c>
      <c r="C65" s="133" t="s">
        <v>29</v>
      </c>
      <c r="D65" s="121" t="s">
        <v>6</v>
      </c>
      <c r="E65" s="122">
        <v>3</v>
      </c>
      <c r="F65" s="123">
        <v>600</v>
      </c>
      <c r="G65" s="51">
        <v>0</v>
      </c>
      <c r="H65" s="51">
        <v>0</v>
      </c>
      <c r="I65" s="163" t="e">
        <f t="shared" si="0"/>
        <v>#DIV/0!</v>
      </c>
    </row>
    <row r="66" spans="1:9" ht="24" outlineLevel="2">
      <c r="A66" s="96" t="s">
        <v>202</v>
      </c>
      <c r="B66" s="117" t="s">
        <v>39</v>
      </c>
      <c r="C66" s="117" t="s">
        <v>29</v>
      </c>
      <c r="D66" s="117" t="s">
        <v>6</v>
      </c>
      <c r="E66" s="118">
        <v>4</v>
      </c>
      <c r="F66" s="119"/>
      <c r="G66" s="50">
        <f>SUM(G67)</f>
        <v>182.9678</v>
      </c>
      <c r="H66" s="50">
        <f>SUM(H67)</f>
        <v>182.9678</v>
      </c>
      <c r="I66" s="163">
        <f t="shared" si="0"/>
        <v>100</v>
      </c>
    </row>
    <row r="67" spans="1:9" ht="24" customHeight="1" outlineLevel="2">
      <c r="A67" s="78" t="s">
        <v>172</v>
      </c>
      <c r="B67" s="133" t="s">
        <v>39</v>
      </c>
      <c r="C67" s="133" t="s">
        <v>29</v>
      </c>
      <c r="D67" s="133" t="s">
        <v>6</v>
      </c>
      <c r="E67" s="135">
        <v>4</v>
      </c>
      <c r="F67" s="134">
        <v>600</v>
      </c>
      <c r="G67" s="57">
        <f>150+40.6688+314.722-322.423</f>
        <v>182.9678</v>
      </c>
      <c r="H67" s="57">
        <f>150+40.6688+314.722-322.423</f>
        <v>182.9678</v>
      </c>
      <c r="I67" s="163">
        <f t="shared" si="0"/>
        <v>100</v>
      </c>
    </row>
    <row r="68" spans="1:9" ht="15.75" outlineLevel="2">
      <c r="A68" s="96" t="s">
        <v>274</v>
      </c>
      <c r="B68" s="117" t="s">
        <v>39</v>
      </c>
      <c r="C68" s="117" t="s">
        <v>29</v>
      </c>
      <c r="D68" s="117" t="s">
        <v>10</v>
      </c>
      <c r="E68" s="118">
        <v>0</v>
      </c>
      <c r="F68" s="119"/>
      <c r="G68" s="50">
        <f>SUM(G69:G70)</f>
        <v>189.991</v>
      </c>
      <c r="H68" s="50">
        <f>SUM(H69:H70)</f>
        <v>189.991</v>
      </c>
      <c r="I68" s="163">
        <f t="shared" si="0"/>
        <v>100</v>
      </c>
    </row>
    <row r="69" spans="1:9" ht="24" outlineLevel="2">
      <c r="A69" s="97" t="s">
        <v>100</v>
      </c>
      <c r="B69" s="133" t="s">
        <v>39</v>
      </c>
      <c r="C69" s="121" t="s">
        <v>29</v>
      </c>
      <c r="D69" s="121" t="s">
        <v>10</v>
      </c>
      <c r="E69" s="122">
        <v>0</v>
      </c>
      <c r="F69" s="134">
        <v>200</v>
      </c>
      <c r="G69" s="57">
        <f>100+70+1.991</f>
        <v>171.991</v>
      </c>
      <c r="H69" s="57">
        <f>100+70+1.991</f>
        <v>171.991</v>
      </c>
      <c r="I69" s="163">
        <f t="shared" si="0"/>
        <v>100</v>
      </c>
    </row>
    <row r="70" spans="1:9" ht="15.75" outlineLevel="2">
      <c r="A70" s="78" t="s">
        <v>173</v>
      </c>
      <c r="B70" s="133" t="s">
        <v>39</v>
      </c>
      <c r="C70" s="121" t="s">
        <v>29</v>
      </c>
      <c r="D70" s="121" t="s">
        <v>10</v>
      </c>
      <c r="E70" s="122">
        <v>0</v>
      </c>
      <c r="F70" s="134">
        <v>300</v>
      </c>
      <c r="G70" s="57">
        <v>18</v>
      </c>
      <c r="H70" s="57">
        <v>18</v>
      </c>
      <c r="I70" s="163">
        <f t="shared" si="0"/>
        <v>100</v>
      </c>
    </row>
    <row r="71" spans="1:10" ht="37.5" customHeight="1" outlineLevel="2">
      <c r="A71" s="96" t="s">
        <v>278</v>
      </c>
      <c r="B71" s="117" t="s">
        <v>39</v>
      </c>
      <c r="C71" s="117" t="s">
        <v>29</v>
      </c>
      <c r="D71" s="117" t="s">
        <v>151</v>
      </c>
      <c r="E71" s="118">
        <v>0</v>
      </c>
      <c r="F71" s="119"/>
      <c r="G71" s="50">
        <f>SUM(G72+G74)</f>
        <v>0</v>
      </c>
      <c r="H71" s="50">
        <f>SUM(H72+H74)</f>
        <v>0</v>
      </c>
      <c r="I71" s="163">
        <v>0</v>
      </c>
      <c r="J71" s="32">
        <f>SUM(G71+G78+G80+G90+G68+G63)</f>
        <v>50353.168649999985</v>
      </c>
    </row>
    <row r="72" spans="1:10" ht="20.25" customHeight="1" outlineLevel="2">
      <c r="A72" s="96" t="s">
        <v>287</v>
      </c>
      <c r="B72" s="117" t="s">
        <v>39</v>
      </c>
      <c r="C72" s="117" t="s">
        <v>29</v>
      </c>
      <c r="D72" s="117" t="s">
        <v>151</v>
      </c>
      <c r="E72" s="118">
        <v>1</v>
      </c>
      <c r="F72" s="119"/>
      <c r="G72" s="50">
        <f>SUM(G73)</f>
        <v>0</v>
      </c>
      <c r="H72" s="50">
        <f>SUM(H73)</f>
        <v>0</v>
      </c>
      <c r="I72" s="163">
        <v>0</v>
      </c>
      <c r="J72" s="32" t="e">
        <f>SUM(J71-#REF!)</f>
        <v>#REF!</v>
      </c>
    </row>
    <row r="73" spans="1:9" ht="24" outlineLevel="2">
      <c r="A73" s="78" t="s">
        <v>100</v>
      </c>
      <c r="B73" s="121" t="s">
        <v>39</v>
      </c>
      <c r="C73" s="121" t="s">
        <v>29</v>
      </c>
      <c r="D73" s="121" t="s">
        <v>151</v>
      </c>
      <c r="E73" s="122">
        <v>1</v>
      </c>
      <c r="F73" s="136">
        <v>200</v>
      </c>
      <c r="G73" s="58">
        <f>50-15-25-10</f>
        <v>0</v>
      </c>
      <c r="H73" s="58">
        <f>50-15-25-10</f>
        <v>0</v>
      </c>
      <c r="I73" s="163">
        <v>0</v>
      </c>
    </row>
    <row r="74" spans="1:9" ht="24" outlineLevel="2">
      <c r="A74" s="96" t="s">
        <v>288</v>
      </c>
      <c r="B74" s="117" t="s">
        <v>39</v>
      </c>
      <c r="C74" s="117" t="s">
        <v>29</v>
      </c>
      <c r="D74" s="117" t="s">
        <v>151</v>
      </c>
      <c r="E74" s="118">
        <v>2</v>
      </c>
      <c r="F74" s="119"/>
      <c r="G74" s="50">
        <f>SUM(G75)</f>
        <v>0</v>
      </c>
      <c r="H74" s="50">
        <f>SUM(H75)</f>
        <v>0</v>
      </c>
      <c r="I74" s="163">
        <v>0</v>
      </c>
    </row>
    <row r="75" spans="1:9" ht="21" customHeight="1" outlineLevel="2">
      <c r="A75" s="78" t="s">
        <v>100</v>
      </c>
      <c r="B75" s="133" t="s">
        <v>39</v>
      </c>
      <c r="C75" s="133" t="s">
        <v>29</v>
      </c>
      <c r="D75" s="133" t="s">
        <v>151</v>
      </c>
      <c r="E75" s="135">
        <v>2</v>
      </c>
      <c r="F75" s="136">
        <v>200</v>
      </c>
      <c r="G75" s="58">
        <f>15-5-10</f>
        <v>0</v>
      </c>
      <c r="H75" s="58">
        <f>15-5-10</f>
        <v>0</v>
      </c>
      <c r="I75" s="163">
        <v>0</v>
      </c>
    </row>
    <row r="76" spans="1:9" ht="24" hidden="1" outlineLevel="2">
      <c r="A76" s="103" t="s">
        <v>239</v>
      </c>
      <c r="B76" s="117" t="s">
        <v>39</v>
      </c>
      <c r="C76" s="117" t="s">
        <v>29</v>
      </c>
      <c r="D76" s="117" t="s">
        <v>238</v>
      </c>
      <c r="E76" s="118">
        <v>0</v>
      </c>
      <c r="F76" s="119"/>
      <c r="G76" s="50">
        <f>SUM(G77)</f>
        <v>0</v>
      </c>
      <c r="H76" s="50">
        <f>SUM(H77)</f>
        <v>0</v>
      </c>
      <c r="I76" s="163" t="e">
        <f aca="true" t="shared" si="3" ref="I76:I137">SUM(H76/G76)*100</f>
        <v>#DIV/0!</v>
      </c>
    </row>
    <row r="77" spans="1:9" ht="24" hidden="1" outlineLevel="2">
      <c r="A77" s="104" t="s">
        <v>100</v>
      </c>
      <c r="B77" s="133" t="s">
        <v>39</v>
      </c>
      <c r="C77" s="133" t="s">
        <v>29</v>
      </c>
      <c r="D77" s="121" t="s">
        <v>238</v>
      </c>
      <c r="E77" s="122">
        <v>0</v>
      </c>
      <c r="F77" s="134">
        <v>200</v>
      </c>
      <c r="G77" s="58">
        <v>0</v>
      </c>
      <c r="H77" s="58">
        <v>0</v>
      </c>
      <c r="I77" s="163" t="e">
        <f t="shared" si="3"/>
        <v>#DIV/0!</v>
      </c>
    </row>
    <row r="78" spans="1:9" ht="35.25" customHeight="1" outlineLevel="2">
      <c r="A78" s="96" t="s">
        <v>279</v>
      </c>
      <c r="B78" s="117" t="s">
        <v>39</v>
      </c>
      <c r="C78" s="117" t="s">
        <v>29</v>
      </c>
      <c r="D78" s="117" t="s">
        <v>200</v>
      </c>
      <c r="E78" s="118">
        <v>0</v>
      </c>
      <c r="F78" s="119"/>
      <c r="G78" s="50">
        <f>SUM(G79)</f>
        <v>0</v>
      </c>
      <c r="H78" s="50">
        <f>SUM(H79)</f>
        <v>0</v>
      </c>
      <c r="I78" s="163">
        <v>0</v>
      </c>
    </row>
    <row r="79" spans="1:9" ht="24" outlineLevel="2">
      <c r="A79" s="78" t="s">
        <v>100</v>
      </c>
      <c r="B79" s="133" t="s">
        <v>39</v>
      </c>
      <c r="C79" s="133" t="s">
        <v>29</v>
      </c>
      <c r="D79" s="121" t="s">
        <v>200</v>
      </c>
      <c r="E79" s="122">
        <v>0</v>
      </c>
      <c r="F79" s="134">
        <v>200</v>
      </c>
      <c r="G79" s="57">
        <f>50-40-10</f>
        <v>0</v>
      </c>
      <c r="H79" s="57">
        <f>50-40-10</f>
        <v>0</v>
      </c>
      <c r="I79" s="163">
        <v>0</v>
      </c>
    </row>
    <row r="80" spans="1:9" ht="51" customHeight="1" outlineLevel="2">
      <c r="A80" s="96" t="s">
        <v>389</v>
      </c>
      <c r="B80" s="117" t="s">
        <v>39</v>
      </c>
      <c r="C80" s="117" t="s">
        <v>29</v>
      </c>
      <c r="D80" s="117" t="s">
        <v>14</v>
      </c>
      <c r="E80" s="118">
        <v>0</v>
      </c>
      <c r="F80" s="119"/>
      <c r="G80" s="50">
        <f>SUM(G81:G82)</f>
        <v>48373.60228999999</v>
      </c>
      <c r="H80" s="50">
        <f>SUM(H81:H82)</f>
        <v>48373.60228999999</v>
      </c>
      <c r="I80" s="163">
        <f t="shared" si="3"/>
        <v>100</v>
      </c>
    </row>
    <row r="81" spans="1:9" ht="23.25" customHeight="1" outlineLevel="2">
      <c r="A81" s="97" t="s">
        <v>172</v>
      </c>
      <c r="B81" s="120" t="s">
        <v>39</v>
      </c>
      <c r="C81" s="120" t="s">
        <v>29</v>
      </c>
      <c r="D81" s="121" t="s">
        <v>14</v>
      </c>
      <c r="E81" s="122">
        <v>0</v>
      </c>
      <c r="F81" s="123">
        <v>600</v>
      </c>
      <c r="G81" s="51">
        <f>31000+7000+300.58322+130.6+84.97549+22.55205+200+261.28924+3000+320+850+2000+1600+652.2006</f>
        <v>47422.20059999999</v>
      </c>
      <c r="H81" s="51">
        <f>31000+7000+300.58322+130.6+84.97549+22.55205+200+261.28924+3000+320+850+2000+1600+652.2006</f>
        <v>47422.20059999999</v>
      </c>
      <c r="I81" s="163">
        <f t="shared" si="3"/>
        <v>100</v>
      </c>
    </row>
    <row r="82" spans="1:9" ht="35.25" customHeight="1" outlineLevel="2">
      <c r="A82" s="97" t="s">
        <v>330</v>
      </c>
      <c r="B82" s="120" t="s">
        <v>39</v>
      </c>
      <c r="C82" s="120" t="s">
        <v>29</v>
      </c>
      <c r="D82" s="121" t="s">
        <v>14</v>
      </c>
      <c r="E82" s="122">
        <v>0</v>
      </c>
      <c r="F82" s="123">
        <v>600</v>
      </c>
      <c r="G82" s="51">
        <f>1020-68.59831</f>
        <v>951.40169</v>
      </c>
      <c r="H82" s="51">
        <f>1020-68.59831</f>
        <v>951.40169</v>
      </c>
      <c r="I82" s="163">
        <f t="shared" si="3"/>
        <v>100</v>
      </c>
    </row>
    <row r="83" spans="1:9" ht="15.75" outlineLevel="2">
      <c r="A83" s="96" t="s">
        <v>256</v>
      </c>
      <c r="B83" s="117" t="s">
        <v>39</v>
      </c>
      <c r="C83" s="117" t="s">
        <v>29</v>
      </c>
      <c r="D83" s="117"/>
      <c r="E83" s="118"/>
      <c r="F83" s="119"/>
      <c r="G83" s="50">
        <f>SUM(G84)</f>
        <v>925.8000000000001</v>
      </c>
      <c r="H83" s="50">
        <f>SUM(H84)</f>
        <v>925.8000000000001</v>
      </c>
      <c r="I83" s="163">
        <f t="shared" si="3"/>
        <v>100</v>
      </c>
    </row>
    <row r="84" spans="1:9" ht="26.25" customHeight="1" outlineLevel="2">
      <c r="A84" s="96" t="s">
        <v>101</v>
      </c>
      <c r="B84" s="117" t="s">
        <v>39</v>
      </c>
      <c r="C84" s="117" t="s">
        <v>29</v>
      </c>
      <c r="D84" s="117" t="s">
        <v>11</v>
      </c>
      <c r="E84" s="118">
        <v>0</v>
      </c>
      <c r="F84" s="119"/>
      <c r="G84" s="50">
        <f>SUM(G85:G86)</f>
        <v>925.8000000000001</v>
      </c>
      <c r="H84" s="50">
        <f>SUM(H85:H86)</f>
        <v>925.8000000000001</v>
      </c>
      <c r="I84" s="163">
        <f t="shared" si="3"/>
        <v>100</v>
      </c>
    </row>
    <row r="85" spans="1:9" ht="50.25" customHeight="1" outlineLevel="2">
      <c r="A85" s="97" t="s">
        <v>99</v>
      </c>
      <c r="B85" s="120" t="s">
        <v>39</v>
      </c>
      <c r="C85" s="120" t="s">
        <v>29</v>
      </c>
      <c r="D85" s="121" t="s">
        <v>11</v>
      </c>
      <c r="E85" s="122" t="s">
        <v>9</v>
      </c>
      <c r="F85" s="123">
        <v>100</v>
      </c>
      <c r="G85" s="51">
        <f>766.5+14.6+39.0506</f>
        <v>820.1506</v>
      </c>
      <c r="H85" s="51">
        <f>766.5+14.6+39.0506</f>
        <v>820.1506</v>
      </c>
      <c r="I85" s="163">
        <f t="shared" si="3"/>
        <v>100</v>
      </c>
    </row>
    <row r="86" spans="1:9" ht="24" outlineLevel="2">
      <c r="A86" s="97" t="s">
        <v>100</v>
      </c>
      <c r="B86" s="120" t="s">
        <v>39</v>
      </c>
      <c r="C86" s="120" t="s">
        <v>29</v>
      </c>
      <c r="D86" s="121" t="s">
        <v>11</v>
      </c>
      <c r="E86" s="122" t="s">
        <v>9</v>
      </c>
      <c r="F86" s="123">
        <v>200</v>
      </c>
      <c r="G86" s="51">
        <f>217.2-72.5-39.0506</f>
        <v>105.64939999999999</v>
      </c>
      <c r="H86" s="51">
        <f>217.2-72.5-39.0506</f>
        <v>105.64939999999999</v>
      </c>
      <c r="I86" s="163">
        <f t="shared" si="3"/>
        <v>100</v>
      </c>
    </row>
    <row r="87" spans="1:9" ht="27.75" customHeight="1" outlineLevel="2">
      <c r="A87" s="96" t="s">
        <v>251</v>
      </c>
      <c r="B87" s="117" t="s">
        <v>39</v>
      </c>
      <c r="C87" s="117" t="s">
        <v>29</v>
      </c>
      <c r="D87" s="117" t="s">
        <v>16</v>
      </c>
      <c r="E87" s="118">
        <v>0</v>
      </c>
      <c r="F87" s="119"/>
      <c r="G87" s="50">
        <f>SUM(G88)</f>
        <v>15.599999999999994</v>
      </c>
      <c r="H87" s="50">
        <f>SUM(H88)</f>
        <v>15.599999999999994</v>
      </c>
      <c r="I87" s="163">
        <f t="shared" si="3"/>
        <v>100</v>
      </c>
    </row>
    <row r="88" spans="1:9" ht="25.5" customHeight="1" outlineLevel="2">
      <c r="A88" s="96" t="s">
        <v>171</v>
      </c>
      <c r="B88" s="117" t="s">
        <v>39</v>
      </c>
      <c r="C88" s="117" t="s">
        <v>29</v>
      </c>
      <c r="D88" s="117" t="s">
        <v>16</v>
      </c>
      <c r="E88" s="118" t="s">
        <v>9</v>
      </c>
      <c r="F88" s="119"/>
      <c r="G88" s="50">
        <f>SUM(G89)</f>
        <v>15.599999999999994</v>
      </c>
      <c r="H88" s="50">
        <f>SUM(H89)</f>
        <v>15.599999999999994</v>
      </c>
      <c r="I88" s="163">
        <f t="shared" si="3"/>
        <v>100</v>
      </c>
    </row>
    <row r="89" spans="1:9" ht="24" outlineLevel="5">
      <c r="A89" s="78" t="s">
        <v>100</v>
      </c>
      <c r="B89" s="120" t="s">
        <v>39</v>
      </c>
      <c r="C89" s="120" t="s">
        <v>29</v>
      </c>
      <c r="D89" s="121" t="s">
        <v>16</v>
      </c>
      <c r="E89" s="122" t="s">
        <v>9</v>
      </c>
      <c r="F89" s="123">
        <v>200</v>
      </c>
      <c r="G89" s="51">
        <f>100-84.4</f>
        <v>15.599999999999994</v>
      </c>
      <c r="H89" s="51">
        <f>100-84.4</f>
        <v>15.599999999999994</v>
      </c>
      <c r="I89" s="163">
        <f t="shared" si="3"/>
        <v>100</v>
      </c>
    </row>
    <row r="90" spans="1:9" ht="24" outlineLevel="5">
      <c r="A90" s="96" t="s">
        <v>250</v>
      </c>
      <c r="B90" s="117" t="s">
        <v>39</v>
      </c>
      <c r="C90" s="117" t="s">
        <v>29</v>
      </c>
      <c r="D90" s="117" t="s">
        <v>16</v>
      </c>
      <c r="E90" s="118">
        <v>0</v>
      </c>
      <c r="F90" s="119"/>
      <c r="G90" s="50">
        <f>SUM(G91)</f>
        <v>1606.6075599999988</v>
      </c>
      <c r="H90" s="50">
        <f>SUM(H91)</f>
        <v>1606.6075599999988</v>
      </c>
      <c r="I90" s="163">
        <f t="shared" si="3"/>
        <v>100</v>
      </c>
    </row>
    <row r="91" spans="1:9" ht="24.75" customHeight="1" outlineLevel="5">
      <c r="A91" s="96" t="s">
        <v>171</v>
      </c>
      <c r="B91" s="117" t="s">
        <v>39</v>
      </c>
      <c r="C91" s="117" t="s">
        <v>29</v>
      </c>
      <c r="D91" s="117" t="s">
        <v>16</v>
      </c>
      <c r="E91" s="118" t="s">
        <v>9</v>
      </c>
      <c r="F91" s="119"/>
      <c r="G91" s="50">
        <f>SUM(G92:G93)</f>
        <v>1606.6075599999988</v>
      </c>
      <c r="H91" s="50">
        <f>SUM(H92:H93)</f>
        <v>1606.6075599999988</v>
      </c>
      <c r="I91" s="163">
        <f t="shared" si="3"/>
        <v>100</v>
      </c>
    </row>
    <row r="92" spans="1:9" ht="24" outlineLevel="5">
      <c r="A92" s="78" t="s">
        <v>100</v>
      </c>
      <c r="B92" s="133" t="s">
        <v>39</v>
      </c>
      <c r="C92" s="133" t="s">
        <v>29</v>
      </c>
      <c r="D92" s="121" t="s">
        <v>16</v>
      </c>
      <c r="E92" s="122">
        <v>0</v>
      </c>
      <c r="F92" s="134">
        <v>200</v>
      </c>
      <c r="G92" s="57">
        <f>1200+4562.21297+180+182.4-4572.35-37.88095-19.18163-1.19549-440-17.88-2.3-18-232.0371-261.28924-200-47.36017</f>
        <v>275.13838999999865</v>
      </c>
      <c r="H92" s="57">
        <f>1200+4562.21297+180+182.4-4572.35-37.88095-19.18163-1.19549-440-17.88-2.3-18-232.0371-261.28924-200-47.36017</f>
        <v>275.13838999999865</v>
      </c>
      <c r="I92" s="163">
        <f t="shared" si="3"/>
        <v>100</v>
      </c>
    </row>
    <row r="93" spans="1:9" ht="14.25" customHeight="1" outlineLevel="5">
      <c r="A93" s="78" t="s">
        <v>142</v>
      </c>
      <c r="B93" s="133" t="s">
        <v>39</v>
      </c>
      <c r="C93" s="133" t="s">
        <v>29</v>
      </c>
      <c r="D93" s="121" t="s">
        <v>16</v>
      </c>
      <c r="E93" s="122">
        <v>0</v>
      </c>
      <c r="F93" s="134">
        <v>800</v>
      </c>
      <c r="G93" s="57">
        <f>1000+440-200+200-14.1-35.778-58.65283</f>
        <v>1331.46917</v>
      </c>
      <c r="H93" s="57">
        <f>1000+440-200+200-14.1-35.778-58.65283</f>
        <v>1331.46917</v>
      </c>
      <c r="I93" s="163">
        <f t="shared" si="3"/>
        <v>100</v>
      </c>
    </row>
    <row r="94" spans="1:9" ht="24" hidden="1" outlineLevel="5">
      <c r="A94" s="96" t="s">
        <v>368</v>
      </c>
      <c r="B94" s="117" t="s">
        <v>39</v>
      </c>
      <c r="C94" s="117" t="s">
        <v>29</v>
      </c>
      <c r="D94" s="117" t="s">
        <v>16</v>
      </c>
      <c r="E94" s="118">
        <v>0</v>
      </c>
      <c r="F94" s="119"/>
      <c r="G94" s="50">
        <f>SUM(G95)</f>
        <v>0</v>
      </c>
      <c r="H94" s="50">
        <f>SUM(H95)</f>
        <v>0</v>
      </c>
      <c r="I94" s="163" t="e">
        <f t="shared" si="3"/>
        <v>#DIV/0!</v>
      </c>
    </row>
    <row r="95" spans="1:9" ht="24" hidden="1" outlineLevel="5">
      <c r="A95" s="96" t="s">
        <v>171</v>
      </c>
      <c r="B95" s="117" t="s">
        <v>39</v>
      </c>
      <c r="C95" s="117" t="s">
        <v>29</v>
      </c>
      <c r="D95" s="117" t="s">
        <v>16</v>
      </c>
      <c r="E95" s="118" t="s">
        <v>9</v>
      </c>
      <c r="F95" s="119"/>
      <c r="G95" s="50">
        <f>SUM(G96)</f>
        <v>0</v>
      </c>
      <c r="H95" s="50">
        <f>SUM(H96)</f>
        <v>0</v>
      </c>
      <c r="I95" s="163" t="e">
        <f t="shared" si="3"/>
        <v>#DIV/0!</v>
      </c>
    </row>
    <row r="96" spans="1:9" ht="24" hidden="1" outlineLevel="5">
      <c r="A96" s="78" t="s">
        <v>100</v>
      </c>
      <c r="B96" s="133" t="s">
        <v>39</v>
      </c>
      <c r="C96" s="133" t="s">
        <v>29</v>
      </c>
      <c r="D96" s="121" t="s">
        <v>16</v>
      </c>
      <c r="E96" s="122">
        <v>0</v>
      </c>
      <c r="F96" s="134">
        <v>200</v>
      </c>
      <c r="G96" s="57">
        <v>0</v>
      </c>
      <c r="H96" s="57">
        <v>0</v>
      </c>
      <c r="I96" s="163" t="e">
        <f t="shared" si="3"/>
        <v>#DIV/0!</v>
      </c>
    </row>
    <row r="97" spans="1:10" ht="15.75" outlineLevel="5">
      <c r="A97" s="106" t="s">
        <v>47</v>
      </c>
      <c r="B97" s="137" t="s">
        <v>39</v>
      </c>
      <c r="C97" s="137" t="s">
        <v>29</v>
      </c>
      <c r="D97" s="121" t="s">
        <v>16</v>
      </c>
      <c r="E97" s="122">
        <v>0</v>
      </c>
      <c r="F97" s="138"/>
      <c r="G97" s="59">
        <v>0</v>
      </c>
      <c r="H97" s="59">
        <v>0</v>
      </c>
      <c r="I97" s="163">
        <v>0</v>
      </c>
      <c r="J97" s="214">
        <v>5916.1</v>
      </c>
    </row>
    <row r="98" spans="1:9" ht="15.75" outlineLevel="1">
      <c r="A98" s="106" t="s">
        <v>48</v>
      </c>
      <c r="B98" s="137" t="s">
        <v>39</v>
      </c>
      <c r="C98" s="137" t="s">
        <v>111</v>
      </c>
      <c r="D98" s="137"/>
      <c r="E98" s="139"/>
      <c r="F98" s="138"/>
      <c r="G98" s="295">
        <f aca="true" t="shared" si="4" ref="G98:H101">SUM(G99)</f>
        <v>2.9130000000000003</v>
      </c>
      <c r="H98" s="295">
        <f t="shared" si="4"/>
        <v>2.9130000000000003</v>
      </c>
      <c r="I98" s="163">
        <f t="shared" si="3"/>
        <v>100</v>
      </c>
    </row>
    <row r="99" spans="1:9" ht="15.75" outlineLevel="2">
      <c r="A99" s="96" t="s">
        <v>49</v>
      </c>
      <c r="B99" s="117" t="s">
        <v>39</v>
      </c>
      <c r="C99" s="117" t="s">
        <v>50</v>
      </c>
      <c r="D99" s="117"/>
      <c r="E99" s="118"/>
      <c r="F99" s="119"/>
      <c r="G99" s="50">
        <f t="shared" si="4"/>
        <v>2.9130000000000003</v>
      </c>
      <c r="H99" s="50">
        <f t="shared" si="4"/>
        <v>2.9130000000000003</v>
      </c>
      <c r="I99" s="163">
        <f t="shared" si="3"/>
        <v>100</v>
      </c>
    </row>
    <row r="100" spans="1:9" ht="15.75" outlineLevel="5">
      <c r="A100" s="96" t="s">
        <v>17</v>
      </c>
      <c r="B100" s="117" t="s">
        <v>39</v>
      </c>
      <c r="C100" s="117" t="s">
        <v>50</v>
      </c>
      <c r="D100" s="117"/>
      <c r="E100" s="118"/>
      <c r="F100" s="119"/>
      <c r="G100" s="50">
        <f t="shared" si="4"/>
        <v>2.9130000000000003</v>
      </c>
      <c r="H100" s="50">
        <f t="shared" si="4"/>
        <v>2.9130000000000003</v>
      </c>
      <c r="I100" s="163">
        <f t="shared" si="3"/>
        <v>100</v>
      </c>
    </row>
    <row r="101" spans="1:9" ht="27" customHeight="1" outlineLevel="5">
      <c r="A101" s="96" t="s">
        <v>171</v>
      </c>
      <c r="B101" s="117" t="s">
        <v>39</v>
      </c>
      <c r="C101" s="117" t="s">
        <v>50</v>
      </c>
      <c r="D101" s="117" t="s">
        <v>16</v>
      </c>
      <c r="E101" s="118">
        <v>0</v>
      </c>
      <c r="F101" s="119"/>
      <c r="G101" s="50">
        <f t="shared" si="4"/>
        <v>2.9130000000000003</v>
      </c>
      <c r="H101" s="50">
        <f t="shared" si="4"/>
        <v>2.9130000000000003</v>
      </c>
      <c r="I101" s="163">
        <f t="shared" si="3"/>
        <v>100</v>
      </c>
    </row>
    <row r="102" spans="1:9" ht="24" outlineLevel="5">
      <c r="A102" s="78" t="s">
        <v>100</v>
      </c>
      <c r="B102" s="120" t="s">
        <v>39</v>
      </c>
      <c r="C102" s="120" t="s">
        <v>50</v>
      </c>
      <c r="D102" s="121" t="s">
        <v>16</v>
      </c>
      <c r="E102" s="122">
        <v>0</v>
      </c>
      <c r="F102" s="123">
        <v>200</v>
      </c>
      <c r="G102" s="51">
        <f>20-17.087</f>
        <v>2.9130000000000003</v>
      </c>
      <c r="H102" s="51">
        <f>20-17.087</f>
        <v>2.9130000000000003</v>
      </c>
      <c r="I102" s="163">
        <f t="shared" si="3"/>
        <v>100</v>
      </c>
    </row>
    <row r="103" spans="1:9" ht="15.75" outlineLevel="5">
      <c r="A103" s="106" t="s">
        <v>116</v>
      </c>
      <c r="B103" s="137" t="s">
        <v>39</v>
      </c>
      <c r="C103" s="137" t="s">
        <v>112</v>
      </c>
      <c r="D103" s="137"/>
      <c r="E103" s="139"/>
      <c r="F103" s="138"/>
      <c r="G103" s="59">
        <f>SUM(G104+G107)</f>
        <v>50</v>
      </c>
      <c r="H103" s="59">
        <f>SUM(H104+H107)</f>
        <v>50</v>
      </c>
      <c r="I103" s="163">
        <f t="shared" si="3"/>
        <v>100</v>
      </c>
    </row>
    <row r="104" spans="1:9" ht="15.75" outlineLevel="5">
      <c r="A104" s="96" t="s">
        <v>343</v>
      </c>
      <c r="B104" s="117" t="s">
        <v>39</v>
      </c>
      <c r="C104" s="117" t="s">
        <v>51</v>
      </c>
      <c r="D104" s="117"/>
      <c r="E104" s="118"/>
      <c r="F104" s="119"/>
      <c r="G104" s="50">
        <f>SUM(G105)</f>
        <v>0</v>
      </c>
      <c r="H104" s="50">
        <f>SUM(H105)</f>
        <v>0</v>
      </c>
      <c r="I104" s="163">
        <v>0</v>
      </c>
    </row>
    <row r="105" spans="1:9" ht="24" outlineLevel="5">
      <c r="A105" s="96" t="s">
        <v>171</v>
      </c>
      <c r="B105" s="117" t="s">
        <v>39</v>
      </c>
      <c r="C105" s="117" t="s">
        <v>51</v>
      </c>
      <c r="D105" s="117" t="s">
        <v>16</v>
      </c>
      <c r="E105" s="118">
        <v>0</v>
      </c>
      <c r="F105" s="119"/>
      <c r="G105" s="50">
        <f>SUM(G106)</f>
        <v>0</v>
      </c>
      <c r="H105" s="50">
        <f>SUM(H106)</f>
        <v>0</v>
      </c>
      <c r="I105" s="163">
        <v>0</v>
      </c>
    </row>
    <row r="106" spans="1:9" ht="24" outlineLevel="5">
      <c r="A106" s="78" t="s">
        <v>100</v>
      </c>
      <c r="B106" s="120" t="s">
        <v>39</v>
      </c>
      <c r="C106" s="120" t="s">
        <v>51</v>
      </c>
      <c r="D106" s="121" t="s">
        <v>16</v>
      </c>
      <c r="E106" s="122">
        <v>0</v>
      </c>
      <c r="F106" s="123">
        <v>200</v>
      </c>
      <c r="G106" s="51">
        <f>20-20</f>
        <v>0</v>
      </c>
      <c r="H106" s="51">
        <f>20-20</f>
        <v>0</v>
      </c>
      <c r="I106" s="163">
        <v>0</v>
      </c>
    </row>
    <row r="107" spans="1:9" ht="30" customHeight="1" outlineLevel="1">
      <c r="A107" s="96" t="s">
        <v>341</v>
      </c>
      <c r="B107" s="117" t="s">
        <v>39</v>
      </c>
      <c r="C107" s="117" t="s">
        <v>342</v>
      </c>
      <c r="D107" s="117"/>
      <c r="E107" s="118"/>
      <c r="F107" s="119"/>
      <c r="G107" s="50">
        <f>SUM(G108)</f>
        <v>50</v>
      </c>
      <c r="H107" s="50">
        <f>SUM(H108)</f>
        <v>50</v>
      </c>
      <c r="I107" s="163">
        <f t="shared" si="3"/>
        <v>100</v>
      </c>
    </row>
    <row r="108" spans="1:9" ht="24.75" customHeight="1" outlineLevel="2">
      <c r="A108" s="96" t="s">
        <v>171</v>
      </c>
      <c r="B108" s="117" t="s">
        <v>39</v>
      </c>
      <c r="C108" s="117" t="s">
        <v>342</v>
      </c>
      <c r="D108" s="117" t="s">
        <v>16</v>
      </c>
      <c r="E108" s="118">
        <v>0</v>
      </c>
      <c r="F108" s="119"/>
      <c r="G108" s="50">
        <f>SUM(G109)</f>
        <v>50</v>
      </c>
      <c r="H108" s="50">
        <f>SUM(H109)</f>
        <v>50</v>
      </c>
      <c r="I108" s="163">
        <f t="shared" si="3"/>
        <v>100</v>
      </c>
    </row>
    <row r="109" spans="1:9" ht="24" outlineLevel="3">
      <c r="A109" s="78" t="s">
        <v>100</v>
      </c>
      <c r="B109" s="120" t="s">
        <v>39</v>
      </c>
      <c r="C109" s="120" t="s">
        <v>342</v>
      </c>
      <c r="D109" s="121" t="s">
        <v>16</v>
      </c>
      <c r="E109" s="122">
        <v>0</v>
      </c>
      <c r="F109" s="123">
        <v>200</v>
      </c>
      <c r="G109" s="51">
        <f>50+10-10</f>
        <v>50</v>
      </c>
      <c r="H109" s="51">
        <f>50+10-10</f>
        <v>50</v>
      </c>
      <c r="I109" s="163">
        <f t="shared" si="3"/>
        <v>100</v>
      </c>
    </row>
    <row r="110" spans="1:9" ht="15" customHeight="1" outlineLevel="3">
      <c r="A110" s="98" t="s">
        <v>117</v>
      </c>
      <c r="B110" s="127" t="s">
        <v>39</v>
      </c>
      <c r="C110" s="127" t="s">
        <v>59</v>
      </c>
      <c r="D110" s="127"/>
      <c r="E110" s="128"/>
      <c r="F110" s="129"/>
      <c r="G110" s="60">
        <f>SUM(G111+G115+G123)</f>
        <v>38493.35679</v>
      </c>
      <c r="H110" s="60">
        <f>SUM(H111+H115+H123)</f>
        <v>35928.34404</v>
      </c>
      <c r="I110" s="163">
        <f t="shared" si="3"/>
        <v>93.33647942424615</v>
      </c>
    </row>
    <row r="111" spans="1:9" ht="15.75" outlineLevel="3">
      <c r="A111" s="96" t="s">
        <v>143</v>
      </c>
      <c r="B111" s="117" t="s">
        <v>39</v>
      </c>
      <c r="C111" s="117" t="s">
        <v>144</v>
      </c>
      <c r="D111" s="117"/>
      <c r="E111" s="118"/>
      <c r="F111" s="119"/>
      <c r="G111" s="54">
        <f aca="true" t="shared" si="5" ref="G111:H113">SUM(G112)</f>
        <v>143.5</v>
      </c>
      <c r="H111" s="54">
        <f t="shared" si="5"/>
        <v>143.5</v>
      </c>
      <c r="I111" s="163">
        <f t="shared" si="3"/>
        <v>100</v>
      </c>
    </row>
    <row r="112" spans="1:9" ht="48" outlineLevel="3">
      <c r="A112" s="96" t="s">
        <v>252</v>
      </c>
      <c r="B112" s="117" t="s">
        <v>39</v>
      </c>
      <c r="C112" s="117" t="s">
        <v>144</v>
      </c>
      <c r="D112" s="117" t="s">
        <v>16</v>
      </c>
      <c r="E112" s="118">
        <v>0</v>
      </c>
      <c r="F112" s="119"/>
      <c r="G112" s="50">
        <f t="shared" si="5"/>
        <v>143.5</v>
      </c>
      <c r="H112" s="50">
        <f t="shared" si="5"/>
        <v>143.5</v>
      </c>
      <c r="I112" s="163">
        <f t="shared" si="3"/>
        <v>100</v>
      </c>
    </row>
    <row r="113" spans="1:9" ht="24" outlineLevel="3">
      <c r="A113" s="96" t="s">
        <v>171</v>
      </c>
      <c r="B113" s="117" t="s">
        <v>39</v>
      </c>
      <c r="C113" s="117" t="s">
        <v>144</v>
      </c>
      <c r="D113" s="117" t="s">
        <v>16</v>
      </c>
      <c r="E113" s="118">
        <v>0</v>
      </c>
      <c r="F113" s="119"/>
      <c r="G113" s="50">
        <f t="shared" si="5"/>
        <v>143.5</v>
      </c>
      <c r="H113" s="50">
        <f t="shared" si="5"/>
        <v>143.5</v>
      </c>
      <c r="I113" s="163">
        <f t="shared" si="3"/>
        <v>100</v>
      </c>
    </row>
    <row r="114" spans="1:9" ht="24" outlineLevel="3">
      <c r="A114" s="78" t="s">
        <v>100</v>
      </c>
      <c r="B114" s="120" t="s">
        <v>39</v>
      </c>
      <c r="C114" s="120" t="s">
        <v>144</v>
      </c>
      <c r="D114" s="121" t="s">
        <v>16</v>
      </c>
      <c r="E114" s="122">
        <v>0</v>
      </c>
      <c r="F114" s="123">
        <v>200</v>
      </c>
      <c r="G114" s="51">
        <v>143.5</v>
      </c>
      <c r="H114" s="51">
        <v>143.5</v>
      </c>
      <c r="I114" s="163">
        <f t="shared" si="3"/>
        <v>100</v>
      </c>
    </row>
    <row r="115" spans="1:9" ht="15.75">
      <c r="A115" s="98" t="s">
        <v>118</v>
      </c>
      <c r="B115" s="127" t="s">
        <v>39</v>
      </c>
      <c r="C115" s="127" t="s">
        <v>52</v>
      </c>
      <c r="D115" s="127"/>
      <c r="E115" s="128"/>
      <c r="F115" s="129"/>
      <c r="G115" s="60">
        <f>SUM(G116+G121)</f>
        <v>29618.750979999997</v>
      </c>
      <c r="H115" s="60">
        <f>SUM(H116+H121)</f>
        <v>27053.738230000003</v>
      </c>
      <c r="I115" s="163">
        <f t="shared" si="3"/>
        <v>91.33990237558628</v>
      </c>
    </row>
    <row r="116" spans="1:9" ht="38.25" customHeight="1" outlineLevel="1">
      <c r="A116" s="96" t="s">
        <v>301</v>
      </c>
      <c r="B116" s="117" t="s">
        <v>39</v>
      </c>
      <c r="C116" s="117" t="s">
        <v>52</v>
      </c>
      <c r="D116" s="117" t="s">
        <v>149</v>
      </c>
      <c r="E116" s="118">
        <v>0</v>
      </c>
      <c r="F116" s="140"/>
      <c r="G116" s="50">
        <f>SUM(G117:G120)</f>
        <v>29618.750979999997</v>
      </c>
      <c r="H116" s="50">
        <f>SUM(H117:H120)</f>
        <v>27053.738230000003</v>
      </c>
      <c r="I116" s="163">
        <f t="shared" si="3"/>
        <v>91.33990237558628</v>
      </c>
    </row>
    <row r="117" spans="1:9" ht="24" outlineLevel="2">
      <c r="A117" s="78" t="s">
        <v>100</v>
      </c>
      <c r="B117" s="121" t="s">
        <v>39</v>
      </c>
      <c r="C117" s="121" t="s">
        <v>52</v>
      </c>
      <c r="D117" s="121" t="s">
        <v>149</v>
      </c>
      <c r="E117" s="122">
        <v>0</v>
      </c>
      <c r="F117" s="141">
        <v>200</v>
      </c>
      <c r="G117" s="51">
        <f>8742.4-60.60606-2.0202-7000+2499.9-3000+1281.1429-0.5</f>
        <v>2460.316639999998</v>
      </c>
      <c r="H117" s="51">
        <v>0</v>
      </c>
      <c r="I117" s="163">
        <f t="shared" si="3"/>
        <v>0</v>
      </c>
    </row>
    <row r="118" spans="1:9" ht="16.5" customHeight="1" outlineLevel="2">
      <c r="A118" s="78" t="s">
        <v>348</v>
      </c>
      <c r="B118" s="121" t="s">
        <v>39</v>
      </c>
      <c r="C118" s="121" t="s">
        <v>52</v>
      </c>
      <c r="D118" s="121" t="s">
        <v>149</v>
      </c>
      <c r="E118" s="122">
        <v>0</v>
      </c>
      <c r="F118" s="141">
        <v>200</v>
      </c>
      <c r="G118" s="51">
        <f>10815+8000-3615-1200+635.39394-435.39394</f>
        <v>14200</v>
      </c>
      <c r="H118" s="51">
        <v>14109.19057</v>
      </c>
      <c r="I118" s="163">
        <f t="shared" si="3"/>
        <v>99.360496971831</v>
      </c>
    </row>
    <row r="119" spans="1:9" ht="29.25" customHeight="1" outlineLevel="2">
      <c r="A119" s="78" t="s">
        <v>349</v>
      </c>
      <c r="B119" s="121" t="s">
        <v>39</v>
      </c>
      <c r="C119" s="121" t="s">
        <v>52</v>
      </c>
      <c r="D119" s="121" t="s">
        <v>149</v>
      </c>
      <c r="E119" s="122">
        <v>0</v>
      </c>
      <c r="F119" s="141">
        <v>200</v>
      </c>
      <c r="G119" s="51">
        <f>60.60606+80.80808+2.0202</f>
        <v>143.43434</v>
      </c>
      <c r="H119" s="51">
        <v>142.51709</v>
      </c>
      <c r="I119" s="163">
        <f t="shared" si="3"/>
        <v>99.36050878750514</v>
      </c>
    </row>
    <row r="120" spans="1:9" ht="21.75" customHeight="1" outlineLevel="2" collapsed="1">
      <c r="A120" s="78" t="s">
        <v>295</v>
      </c>
      <c r="B120" s="121" t="s">
        <v>39</v>
      </c>
      <c r="C120" s="121" t="s">
        <v>52</v>
      </c>
      <c r="D120" s="121" t="s">
        <v>149</v>
      </c>
      <c r="E120" s="122">
        <v>0</v>
      </c>
      <c r="F120" s="141">
        <v>500</v>
      </c>
      <c r="G120" s="51">
        <f>3615+1200-635.39394+8000+635.39394</f>
        <v>12815</v>
      </c>
      <c r="H120" s="51">
        <v>12802.03057</v>
      </c>
      <c r="I120" s="163">
        <f t="shared" si="3"/>
        <v>99.89879492781897</v>
      </c>
    </row>
    <row r="121" spans="1:9" ht="1.5" customHeight="1" hidden="1" outlineLevel="3">
      <c r="A121" s="96" t="s">
        <v>305</v>
      </c>
      <c r="B121" s="117" t="s">
        <v>39</v>
      </c>
      <c r="C121" s="117" t="s">
        <v>52</v>
      </c>
      <c r="D121" s="117" t="s">
        <v>12</v>
      </c>
      <c r="E121" s="118">
        <v>0</v>
      </c>
      <c r="F121" s="119"/>
      <c r="G121" s="50">
        <f>SUM(G122)</f>
        <v>0</v>
      </c>
      <c r="H121" s="50">
        <f>SUM(H122)</f>
        <v>0</v>
      </c>
      <c r="I121" s="163" t="e">
        <f t="shared" si="3"/>
        <v>#DIV/0!</v>
      </c>
    </row>
    <row r="122" spans="1:9" ht="24" hidden="1" outlineLevel="3">
      <c r="A122" s="78" t="s">
        <v>172</v>
      </c>
      <c r="B122" s="133" t="s">
        <v>39</v>
      </c>
      <c r="C122" s="121" t="s">
        <v>52</v>
      </c>
      <c r="D122" s="133" t="s">
        <v>12</v>
      </c>
      <c r="E122" s="135">
        <v>0</v>
      </c>
      <c r="F122" s="134">
        <v>600</v>
      </c>
      <c r="G122" s="58">
        <v>0</v>
      </c>
      <c r="H122" s="58">
        <v>0</v>
      </c>
      <c r="I122" s="163" t="e">
        <f t="shared" si="3"/>
        <v>#DIV/0!</v>
      </c>
    </row>
    <row r="123" spans="1:9" ht="15.75" outlineLevel="3">
      <c r="A123" s="98" t="s">
        <v>119</v>
      </c>
      <c r="B123" s="127" t="s">
        <v>39</v>
      </c>
      <c r="C123" s="127" t="s">
        <v>53</v>
      </c>
      <c r="D123" s="127"/>
      <c r="E123" s="128"/>
      <c r="F123" s="129"/>
      <c r="G123" s="53">
        <f>SUM(G124+G128)</f>
        <v>8731.105810000001</v>
      </c>
      <c r="H123" s="53">
        <f>SUM(H124+H128)</f>
        <v>8731.105810000001</v>
      </c>
      <c r="I123" s="163">
        <f t="shared" si="3"/>
        <v>100</v>
      </c>
    </row>
    <row r="124" spans="1:9" ht="34.5" customHeight="1" outlineLevel="3">
      <c r="A124" s="96" t="s">
        <v>275</v>
      </c>
      <c r="B124" s="117" t="s">
        <v>39</v>
      </c>
      <c r="C124" s="117" t="s">
        <v>53</v>
      </c>
      <c r="D124" s="117" t="s">
        <v>13</v>
      </c>
      <c r="E124" s="118">
        <v>0</v>
      </c>
      <c r="F124" s="119"/>
      <c r="G124" s="50">
        <f>SUM(G125:G127)</f>
        <v>40</v>
      </c>
      <c r="H124" s="50">
        <f>SUM(H125:H127)</f>
        <v>40</v>
      </c>
      <c r="I124" s="163">
        <f t="shared" si="3"/>
        <v>100</v>
      </c>
    </row>
    <row r="125" spans="1:9" ht="24" hidden="1" outlineLevel="3">
      <c r="A125" s="78" t="s">
        <v>100</v>
      </c>
      <c r="B125" s="133" t="s">
        <v>39</v>
      </c>
      <c r="C125" s="133" t="s">
        <v>53</v>
      </c>
      <c r="D125" s="121" t="s">
        <v>13</v>
      </c>
      <c r="E125" s="122">
        <v>0</v>
      </c>
      <c r="F125" s="134">
        <v>200</v>
      </c>
      <c r="G125" s="57">
        <v>0</v>
      </c>
      <c r="H125" s="57">
        <v>0</v>
      </c>
      <c r="I125" s="163" t="e">
        <f t="shared" si="3"/>
        <v>#DIV/0!</v>
      </c>
    </row>
    <row r="126" spans="1:9" ht="16.5" customHeight="1" hidden="1" outlineLevel="3">
      <c r="A126" s="78" t="s">
        <v>173</v>
      </c>
      <c r="B126" s="133" t="s">
        <v>39</v>
      </c>
      <c r="C126" s="133" t="s">
        <v>53</v>
      </c>
      <c r="D126" s="121" t="s">
        <v>13</v>
      </c>
      <c r="E126" s="122">
        <v>0</v>
      </c>
      <c r="F126" s="134">
        <v>300</v>
      </c>
      <c r="G126" s="57">
        <v>0</v>
      </c>
      <c r="H126" s="57">
        <v>0</v>
      </c>
      <c r="I126" s="163" t="e">
        <f t="shared" si="3"/>
        <v>#DIV/0!</v>
      </c>
    </row>
    <row r="127" spans="1:9" ht="15.75" outlineLevel="3">
      <c r="A127" s="78" t="s">
        <v>142</v>
      </c>
      <c r="B127" s="133" t="s">
        <v>39</v>
      </c>
      <c r="C127" s="133" t="s">
        <v>53</v>
      </c>
      <c r="D127" s="121" t="s">
        <v>13</v>
      </c>
      <c r="E127" s="122">
        <v>0</v>
      </c>
      <c r="F127" s="134">
        <v>800</v>
      </c>
      <c r="G127" s="57">
        <f>100-60</f>
        <v>40</v>
      </c>
      <c r="H127" s="57">
        <f>100-60</f>
        <v>40</v>
      </c>
      <c r="I127" s="163">
        <f t="shared" si="3"/>
        <v>100</v>
      </c>
    </row>
    <row r="128" spans="1:9" ht="30" customHeight="1" outlineLevel="3">
      <c r="A128" s="96" t="s">
        <v>378</v>
      </c>
      <c r="B128" s="117" t="s">
        <v>39</v>
      </c>
      <c r="C128" s="117" t="s">
        <v>53</v>
      </c>
      <c r="D128" s="117" t="s">
        <v>290</v>
      </c>
      <c r="E128" s="118">
        <v>0</v>
      </c>
      <c r="F128" s="119"/>
      <c r="G128" s="50">
        <f>SUM(G129:G131)</f>
        <v>8691.105810000001</v>
      </c>
      <c r="H128" s="50">
        <f>SUM(H129:H131)</f>
        <v>8691.105810000001</v>
      </c>
      <c r="I128" s="163">
        <f t="shared" si="3"/>
        <v>100</v>
      </c>
    </row>
    <row r="129" spans="1:9" ht="23.25" customHeight="1" outlineLevel="3">
      <c r="A129" s="78" t="s">
        <v>100</v>
      </c>
      <c r="B129" s="133" t="s">
        <v>39</v>
      </c>
      <c r="C129" s="133" t="s">
        <v>53</v>
      </c>
      <c r="D129" s="133" t="s">
        <v>290</v>
      </c>
      <c r="E129" s="135">
        <v>0</v>
      </c>
      <c r="F129" s="134">
        <v>200</v>
      </c>
      <c r="G129" s="57">
        <f>800-230-268.612</f>
        <v>301.388</v>
      </c>
      <c r="H129" s="57">
        <f>800-230-268.612</f>
        <v>301.388</v>
      </c>
      <c r="I129" s="163">
        <f t="shared" si="3"/>
        <v>100</v>
      </c>
    </row>
    <row r="130" spans="1:9" ht="15.75" outlineLevel="3">
      <c r="A130" s="78" t="s">
        <v>174</v>
      </c>
      <c r="B130" s="133" t="s">
        <v>39</v>
      </c>
      <c r="C130" s="133" t="s">
        <v>53</v>
      </c>
      <c r="D130" s="133" t="s">
        <v>290</v>
      </c>
      <c r="E130" s="135">
        <v>0</v>
      </c>
      <c r="F130" s="134">
        <v>500</v>
      </c>
      <c r="G130" s="57">
        <f>230</f>
        <v>230</v>
      </c>
      <c r="H130" s="57">
        <f>230</f>
        <v>230</v>
      </c>
      <c r="I130" s="163">
        <f t="shared" si="3"/>
        <v>100</v>
      </c>
    </row>
    <row r="131" spans="1:9" ht="18.75" customHeight="1" outlineLevel="1">
      <c r="A131" s="96" t="s">
        <v>400</v>
      </c>
      <c r="B131" s="117" t="s">
        <v>39</v>
      </c>
      <c r="C131" s="117" t="s">
        <v>53</v>
      </c>
      <c r="D131" s="117" t="s">
        <v>290</v>
      </c>
      <c r="E131" s="118">
        <v>0</v>
      </c>
      <c r="F131" s="119"/>
      <c r="G131" s="50">
        <f>SUM(G132:G133)</f>
        <v>8159.71781</v>
      </c>
      <c r="H131" s="50">
        <f>SUM(H132:H133)</f>
        <v>8159.71781</v>
      </c>
      <c r="I131" s="163">
        <f t="shared" si="3"/>
        <v>100</v>
      </c>
    </row>
    <row r="132" spans="1:9" ht="39.75" customHeight="1" outlineLevel="1">
      <c r="A132" s="78" t="s">
        <v>398</v>
      </c>
      <c r="B132" s="120" t="s">
        <v>39</v>
      </c>
      <c r="C132" s="120" t="s">
        <v>53</v>
      </c>
      <c r="D132" s="121" t="s">
        <v>290</v>
      </c>
      <c r="E132" s="122">
        <v>0</v>
      </c>
      <c r="F132" s="123">
        <v>200</v>
      </c>
      <c r="G132" s="51">
        <f>2191.7+4859.40012+292.64591</f>
        <v>7343.74603</v>
      </c>
      <c r="H132" s="51">
        <f>2191.7+4859.40012+292.64591</f>
        <v>7343.74603</v>
      </c>
      <c r="I132" s="163">
        <f t="shared" si="3"/>
        <v>100</v>
      </c>
    </row>
    <row r="133" spans="1:9" ht="29.25" customHeight="1" outlineLevel="1">
      <c r="A133" s="78" t="s">
        <v>399</v>
      </c>
      <c r="B133" s="120" t="s">
        <v>39</v>
      </c>
      <c r="C133" s="120" t="s">
        <v>53</v>
      </c>
      <c r="D133" s="121" t="s">
        <v>290</v>
      </c>
      <c r="E133" s="122">
        <v>0</v>
      </c>
      <c r="F133" s="123">
        <v>200</v>
      </c>
      <c r="G133" s="51">
        <f>1116.555-300.58322</f>
        <v>815.9717800000001</v>
      </c>
      <c r="H133" s="51">
        <f>1116.555-300.58322</f>
        <v>815.9717800000001</v>
      </c>
      <c r="I133" s="163">
        <f t="shared" si="3"/>
        <v>100</v>
      </c>
    </row>
    <row r="134" spans="1:9" ht="13.5" customHeight="1" outlineLevel="1">
      <c r="A134" s="106" t="s">
        <v>55</v>
      </c>
      <c r="B134" s="137" t="s">
        <v>39</v>
      </c>
      <c r="C134" s="137" t="s">
        <v>56</v>
      </c>
      <c r="D134" s="137"/>
      <c r="E134" s="139"/>
      <c r="F134" s="138"/>
      <c r="G134" s="59">
        <f>SUM(G135+G148)</f>
        <v>16757.505289999997</v>
      </c>
      <c r="H134" s="59">
        <f>SUM(H135+H148)</f>
        <v>16457.505289999997</v>
      </c>
      <c r="I134" s="163">
        <f t="shared" si="3"/>
        <v>98.20975739044508</v>
      </c>
    </row>
    <row r="135" spans="1:9" ht="15.75" outlineLevel="1">
      <c r="A135" s="96" t="s">
        <v>54</v>
      </c>
      <c r="B135" s="117" t="s">
        <v>39</v>
      </c>
      <c r="C135" s="117" t="s">
        <v>57</v>
      </c>
      <c r="D135" s="117"/>
      <c r="E135" s="118"/>
      <c r="F135" s="119"/>
      <c r="G135" s="50">
        <f>SUM(G136+G145+G143)</f>
        <v>9712.118289999999</v>
      </c>
      <c r="H135" s="50">
        <f>SUM(H136+H145+H143)</f>
        <v>9412.118289999999</v>
      </c>
      <c r="I135" s="163">
        <f t="shared" si="3"/>
        <v>96.9110755136818</v>
      </c>
    </row>
    <row r="136" spans="1:9" ht="36" outlineLevel="1">
      <c r="A136" s="96" t="s">
        <v>379</v>
      </c>
      <c r="B136" s="117" t="s">
        <v>39</v>
      </c>
      <c r="C136" s="117" t="s">
        <v>57</v>
      </c>
      <c r="D136" s="117" t="s">
        <v>6</v>
      </c>
      <c r="E136" s="118">
        <v>0</v>
      </c>
      <c r="F136" s="119"/>
      <c r="G136" s="50">
        <f>SUM(G137+G141)</f>
        <v>5550.46429</v>
      </c>
      <c r="H136" s="50">
        <f>SUM(H137+H141)</f>
        <v>5550.46429</v>
      </c>
      <c r="I136" s="163">
        <f t="shared" si="3"/>
        <v>100</v>
      </c>
    </row>
    <row r="137" spans="1:9" ht="34.5" customHeight="1" outlineLevel="2">
      <c r="A137" s="96" t="s">
        <v>201</v>
      </c>
      <c r="B137" s="117" t="s">
        <v>39</v>
      </c>
      <c r="C137" s="117" t="s">
        <v>57</v>
      </c>
      <c r="D137" s="117" t="s">
        <v>6</v>
      </c>
      <c r="E137" s="118">
        <v>1</v>
      </c>
      <c r="F137" s="119"/>
      <c r="G137" s="50">
        <f>SUM(G138:G140)</f>
        <v>5550.46429</v>
      </c>
      <c r="H137" s="50">
        <f>SUM(H138:H140)</f>
        <v>5550.46429</v>
      </c>
      <c r="I137" s="163">
        <f t="shared" si="3"/>
        <v>100</v>
      </c>
    </row>
    <row r="138" spans="1:9" ht="28.5" customHeight="1" outlineLevel="5">
      <c r="A138" s="78" t="s">
        <v>100</v>
      </c>
      <c r="B138" s="133" t="s">
        <v>39</v>
      </c>
      <c r="C138" s="133" t="s">
        <v>57</v>
      </c>
      <c r="D138" s="133" t="s">
        <v>6</v>
      </c>
      <c r="E138" s="135">
        <v>1</v>
      </c>
      <c r="F138" s="134">
        <v>200</v>
      </c>
      <c r="G138" s="57">
        <f>205+3.78721+71.35465-24.12201</f>
        <v>256.01985</v>
      </c>
      <c r="H138" s="57">
        <f>205+3.78721+71.35465-24.12201</f>
        <v>256.01985</v>
      </c>
      <c r="I138" s="163">
        <f aca="true" t="shared" si="6" ref="I138:I201">SUM(H138/G138)*100</f>
        <v>100</v>
      </c>
    </row>
    <row r="139" spans="1:9" ht="28.5" customHeight="1" outlineLevel="5">
      <c r="A139" s="78" t="s">
        <v>363</v>
      </c>
      <c r="B139" s="133" t="s">
        <v>39</v>
      </c>
      <c r="C139" s="133" t="s">
        <v>57</v>
      </c>
      <c r="D139" s="133" t="s">
        <v>6</v>
      </c>
      <c r="E139" s="135">
        <v>1</v>
      </c>
      <c r="F139" s="134">
        <v>500</v>
      </c>
      <c r="G139" s="57">
        <f>4000+444.44444</f>
        <v>4444.44444</v>
      </c>
      <c r="H139" s="57">
        <f>4000+444.44444</f>
        <v>4444.44444</v>
      </c>
      <c r="I139" s="163">
        <f t="shared" si="6"/>
        <v>100</v>
      </c>
    </row>
    <row r="140" spans="1:9" ht="15.75" customHeight="1" outlineLevel="2">
      <c r="A140" s="78" t="s">
        <v>174</v>
      </c>
      <c r="B140" s="133" t="s">
        <v>39</v>
      </c>
      <c r="C140" s="133" t="s">
        <v>57</v>
      </c>
      <c r="D140" s="133" t="s">
        <v>6</v>
      </c>
      <c r="E140" s="135">
        <v>1</v>
      </c>
      <c r="F140" s="134">
        <v>500</v>
      </c>
      <c r="G140" s="57">
        <f>1700-850</f>
        <v>850</v>
      </c>
      <c r="H140" s="57">
        <f>1700-850</f>
        <v>850</v>
      </c>
      <c r="I140" s="163">
        <f t="shared" si="6"/>
        <v>100</v>
      </c>
    </row>
    <row r="141" spans="1:9" ht="24" outlineLevel="2">
      <c r="A141" s="96" t="s">
        <v>219</v>
      </c>
      <c r="B141" s="117" t="s">
        <v>39</v>
      </c>
      <c r="C141" s="117" t="s">
        <v>57</v>
      </c>
      <c r="D141" s="117" t="s">
        <v>6</v>
      </c>
      <c r="E141" s="118">
        <v>3</v>
      </c>
      <c r="F141" s="119"/>
      <c r="G141" s="50">
        <f>SUM(G142)</f>
        <v>0</v>
      </c>
      <c r="H141" s="50">
        <f>SUM(H142)</f>
        <v>0</v>
      </c>
      <c r="I141" s="163">
        <v>0</v>
      </c>
    </row>
    <row r="142" spans="1:9" ht="24" outlineLevel="2">
      <c r="A142" s="78" t="s">
        <v>175</v>
      </c>
      <c r="B142" s="133" t="s">
        <v>39</v>
      </c>
      <c r="C142" s="133" t="s">
        <v>57</v>
      </c>
      <c r="D142" s="133" t="s">
        <v>6</v>
      </c>
      <c r="E142" s="135">
        <v>3</v>
      </c>
      <c r="F142" s="134">
        <v>400</v>
      </c>
      <c r="G142" s="57">
        <f>8000-8000</f>
        <v>0</v>
      </c>
      <c r="H142" s="57">
        <f>8000-8000</f>
        <v>0</v>
      </c>
      <c r="I142" s="163">
        <v>0</v>
      </c>
    </row>
    <row r="143" spans="1:9" ht="48" outlineLevel="5">
      <c r="A143" s="96" t="s">
        <v>389</v>
      </c>
      <c r="B143" s="117" t="s">
        <v>39</v>
      </c>
      <c r="C143" s="117" t="s">
        <v>57</v>
      </c>
      <c r="D143" s="117" t="s">
        <v>14</v>
      </c>
      <c r="E143" s="118">
        <v>0</v>
      </c>
      <c r="F143" s="119"/>
      <c r="G143" s="50">
        <f>SUM(G144)</f>
        <v>4075.20655</v>
      </c>
      <c r="H143" s="50">
        <f>SUM(H144)</f>
        <v>3775.20655</v>
      </c>
      <c r="I143" s="163">
        <f t="shared" si="6"/>
        <v>92.63840994758904</v>
      </c>
    </row>
    <row r="144" spans="1:9" ht="24" outlineLevel="5">
      <c r="A144" s="97" t="s">
        <v>172</v>
      </c>
      <c r="B144" s="120" t="s">
        <v>39</v>
      </c>
      <c r="C144" s="120" t="s">
        <v>57</v>
      </c>
      <c r="D144" s="121" t="s">
        <v>14</v>
      </c>
      <c r="E144" s="122">
        <v>0</v>
      </c>
      <c r="F144" s="123">
        <v>600</v>
      </c>
      <c r="G144" s="51">
        <f>4000+325+200-449.79345</f>
        <v>4075.20655</v>
      </c>
      <c r="H144" s="51">
        <v>3775.20655</v>
      </c>
      <c r="I144" s="163">
        <f t="shared" si="6"/>
        <v>92.63840994758904</v>
      </c>
    </row>
    <row r="145" spans="1:9" ht="49.5" customHeight="1" outlineLevel="5">
      <c r="A145" s="96" t="s">
        <v>268</v>
      </c>
      <c r="B145" s="117" t="s">
        <v>39</v>
      </c>
      <c r="C145" s="117" t="s">
        <v>57</v>
      </c>
      <c r="D145" s="117"/>
      <c r="E145" s="118"/>
      <c r="F145" s="119"/>
      <c r="G145" s="50">
        <f>SUM(G146)</f>
        <v>86.44745</v>
      </c>
      <c r="H145" s="50">
        <f>SUM(H146)</f>
        <v>86.44745</v>
      </c>
      <c r="I145" s="163">
        <f t="shared" si="6"/>
        <v>100</v>
      </c>
    </row>
    <row r="146" spans="1:9" ht="24" outlineLevel="5">
      <c r="A146" s="96" t="s">
        <v>171</v>
      </c>
      <c r="B146" s="117" t="s">
        <v>39</v>
      </c>
      <c r="C146" s="117" t="s">
        <v>57</v>
      </c>
      <c r="D146" s="117" t="s">
        <v>16</v>
      </c>
      <c r="E146" s="118">
        <v>0</v>
      </c>
      <c r="F146" s="119"/>
      <c r="G146" s="50">
        <f>SUM(G147)</f>
        <v>86.44745</v>
      </c>
      <c r="H146" s="50">
        <f>SUM(H147)</f>
        <v>86.44745</v>
      </c>
      <c r="I146" s="163">
        <f t="shared" si="6"/>
        <v>100</v>
      </c>
    </row>
    <row r="147" spans="1:9" ht="15.75" outlineLevel="5">
      <c r="A147" s="97" t="s">
        <v>142</v>
      </c>
      <c r="B147" s="120" t="s">
        <v>39</v>
      </c>
      <c r="C147" s="120" t="s">
        <v>57</v>
      </c>
      <c r="D147" s="121" t="s">
        <v>16</v>
      </c>
      <c r="E147" s="122">
        <v>0</v>
      </c>
      <c r="F147" s="123">
        <v>800</v>
      </c>
      <c r="G147" s="51">
        <f>18.3+91-22.85255</f>
        <v>86.44745</v>
      </c>
      <c r="H147" s="51">
        <f>18.3+91-22.85255</f>
        <v>86.44745</v>
      </c>
      <c r="I147" s="163">
        <f t="shared" si="6"/>
        <v>100</v>
      </c>
    </row>
    <row r="148" spans="1:9" ht="15.75" outlineLevel="5">
      <c r="A148" s="96" t="s">
        <v>133</v>
      </c>
      <c r="B148" s="117" t="s">
        <v>39</v>
      </c>
      <c r="C148" s="117" t="s">
        <v>132</v>
      </c>
      <c r="D148" s="117"/>
      <c r="E148" s="118"/>
      <c r="F148" s="119"/>
      <c r="G148" s="50">
        <f>SUM(G149+G152)</f>
        <v>7045.387</v>
      </c>
      <c r="H148" s="50">
        <f>SUM(H149+H152)</f>
        <v>7045.387</v>
      </c>
      <c r="I148" s="163">
        <f t="shared" si="6"/>
        <v>100</v>
      </c>
    </row>
    <row r="149" spans="1:9" ht="24" outlineLevel="5">
      <c r="A149" s="96" t="s">
        <v>171</v>
      </c>
      <c r="B149" s="117" t="s">
        <v>39</v>
      </c>
      <c r="C149" s="117" t="s">
        <v>132</v>
      </c>
      <c r="D149" s="117" t="s">
        <v>16</v>
      </c>
      <c r="E149" s="118">
        <v>0</v>
      </c>
      <c r="F149" s="119"/>
      <c r="G149" s="50">
        <f>SUM(G150:G151)</f>
        <v>4339.2</v>
      </c>
      <c r="H149" s="50">
        <f>SUM(H150:H151)</f>
        <v>4339.2</v>
      </c>
      <c r="I149" s="163">
        <f t="shared" si="6"/>
        <v>100</v>
      </c>
    </row>
    <row r="150" spans="1:9" ht="36" outlineLevel="5">
      <c r="A150" s="78" t="s">
        <v>409</v>
      </c>
      <c r="B150" s="133" t="s">
        <v>39</v>
      </c>
      <c r="C150" s="133" t="s">
        <v>132</v>
      </c>
      <c r="D150" s="133" t="s">
        <v>16</v>
      </c>
      <c r="E150" s="135">
        <v>0</v>
      </c>
      <c r="F150" s="134">
        <v>500</v>
      </c>
      <c r="G150" s="57">
        <v>4339.2</v>
      </c>
      <c r="H150" s="57">
        <v>4339.2</v>
      </c>
      <c r="I150" s="163">
        <f t="shared" si="6"/>
        <v>100</v>
      </c>
    </row>
    <row r="151" spans="1:9" ht="36" outlineLevel="5">
      <c r="A151" s="78" t="s">
        <v>410</v>
      </c>
      <c r="B151" s="133" t="s">
        <v>39</v>
      </c>
      <c r="C151" s="133" t="s">
        <v>132</v>
      </c>
      <c r="D151" s="133" t="s">
        <v>16</v>
      </c>
      <c r="E151" s="135">
        <v>0</v>
      </c>
      <c r="F151" s="134">
        <v>500</v>
      </c>
      <c r="G151" s="57">
        <f>260-260</f>
        <v>0</v>
      </c>
      <c r="H151" s="57">
        <f>260-260</f>
        <v>0</v>
      </c>
      <c r="I151" s="163">
        <v>0</v>
      </c>
    </row>
    <row r="152" spans="1:9" ht="24" outlineLevel="5">
      <c r="A152" s="96" t="s">
        <v>305</v>
      </c>
      <c r="B152" s="117" t="s">
        <v>39</v>
      </c>
      <c r="C152" s="117" t="s">
        <v>132</v>
      </c>
      <c r="D152" s="117" t="s">
        <v>12</v>
      </c>
      <c r="E152" s="118">
        <v>0</v>
      </c>
      <c r="F152" s="119"/>
      <c r="G152" s="50">
        <f>SUM(G153:G153)</f>
        <v>2706.187</v>
      </c>
      <c r="H152" s="50">
        <f>SUM(H153:H153)</f>
        <v>2706.187</v>
      </c>
      <c r="I152" s="163">
        <f t="shared" si="6"/>
        <v>100</v>
      </c>
    </row>
    <row r="153" spans="1:9" ht="24" outlineLevel="5">
      <c r="A153" s="78" t="s">
        <v>172</v>
      </c>
      <c r="B153" s="133" t="s">
        <v>39</v>
      </c>
      <c r="C153" s="133" t="s">
        <v>132</v>
      </c>
      <c r="D153" s="133" t="s">
        <v>12</v>
      </c>
      <c r="E153" s="135">
        <v>0</v>
      </c>
      <c r="F153" s="134">
        <v>600</v>
      </c>
      <c r="G153" s="57">
        <f>1999.9+706.287</f>
        <v>2706.187</v>
      </c>
      <c r="H153" s="57">
        <f>1999.9+706.287</f>
        <v>2706.187</v>
      </c>
      <c r="I153" s="163">
        <f t="shared" si="6"/>
        <v>100</v>
      </c>
    </row>
    <row r="154" spans="1:9" ht="15.75" outlineLevel="5">
      <c r="A154" s="98" t="s">
        <v>58</v>
      </c>
      <c r="B154" s="127" t="s">
        <v>39</v>
      </c>
      <c r="C154" s="127" t="s">
        <v>113</v>
      </c>
      <c r="D154" s="127"/>
      <c r="E154" s="128"/>
      <c r="F154" s="129"/>
      <c r="G154" s="53">
        <f>SUM(G155)</f>
        <v>0</v>
      </c>
      <c r="H154" s="53">
        <f>SUM(H155)</f>
        <v>0</v>
      </c>
      <c r="I154" s="163">
        <v>0</v>
      </c>
    </row>
    <row r="155" spans="1:9" ht="27" customHeight="1" outlineLevel="5">
      <c r="A155" s="96" t="s">
        <v>272</v>
      </c>
      <c r="B155" s="117" t="s">
        <v>39</v>
      </c>
      <c r="C155" s="117" t="s">
        <v>60</v>
      </c>
      <c r="D155" s="117" t="s">
        <v>15</v>
      </c>
      <c r="E155" s="118">
        <v>0</v>
      </c>
      <c r="F155" s="119"/>
      <c r="G155" s="50">
        <f>SUM(G156:G157)</f>
        <v>0</v>
      </c>
      <c r="H155" s="50">
        <f>SUM(H156:H157)</f>
        <v>0</v>
      </c>
      <c r="I155" s="163">
        <v>0</v>
      </c>
    </row>
    <row r="156" spans="1:9" ht="24.75" customHeight="1" outlineLevel="5">
      <c r="A156" s="78" t="s">
        <v>100</v>
      </c>
      <c r="B156" s="133" t="s">
        <v>39</v>
      </c>
      <c r="C156" s="133" t="s">
        <v>60</v>
      </c>
      <c r="D156" s="121" t="s">
        <v>15</v>
      </c>
      <c r="E156" s="122">
        <v>0</v>
      </c>
      <c r="F156" s="134">
        <v>200</v>
      </c>
      <c r="G156" s="57">
        <f>50-30-20</f>
        <v>0</v>
      </c>
      <c r="H156" s="57">
        <f>50-30-20</f>
        <v>0</v>
      </c>
      <c r="I156" s="163">
        <v>0</v>
      </c>
    </row>
    <row r="157" spans="1:9" ht="0.75" customHeight="1" hidden="1" outlineLevel="5">
      <c r="A157" s="78" t="s">
        <v>172</v>
      </c>
      <c r="B157" s="133" t="s">
        <v>39</v>
      </c>
      <c r="C157" s="133" t="s">
        <v>60</v>
      </c>
      <c r="D157" s="121" t="s">
        <v>15</v>
      </c>
      <c r="E157" s="122">
        <v>0</v>
      </c>
      <c r="F157" s="134">
        <v>600</v>
      </c>
      <c r="G157" s="57">
        <v>0</v>
      </c>
      <c r="H157" s="57">
        <v>0</v>
      </c>
      <c r="I157" s="163" t="e">
        <f t="shared" si="6"/>
        <v>#DIV/0!</v>
      </c>
    </row>
    <row r="158" spans="1:9" ht="18.75" customHeight="1" outlineLevel="5">
      <c r="A158" s="98" t="s">
        <v>61</v>
      </c>
      <c r="B158" s="127" t="s">
        <v>39</v>
      </c>
      <c r="C158" s="127" t="s">
        <v>64</v>
      </c>
      <c r="D158" s="127"/>
      <c r="E158" s="128"/>
      <c r="F158" s="129"/>
      <c r="G158" s="53">
        <f>SUM(G159+G184+G230+G246+G222)</f>
        <v>259571.69220999995</v>
      </c>
      <c r="H158" s="53">
        <f>SUM(H159+H184+H230+H246+H222)</f>
        <v>255937.17505</v>
      </c>
      <c r="I158" s="163">
        <f t="shared" si="6"/>
        <v>98.59980218603363</v>
      </c>
    </row>
    <row r="159" spans="1:9" ht="19.5" customHeight="1" outlineLevel="1">
      <c r="A159" s="107" t="s">
        <v>62</v>
      </c>
      <c r="B159" s="142" t="s">
        <v>39</v>
      </c>
      <c r="C159" s="142" t="s">
        <v>63</v>
      </c>
      <c r="D159" s="142"/>
      <c r="E159" s="143"/>
      <c r="F159" s="144"/>
      <c r="G159" s="61">
        <f>SUM(G160+G168+G166+G174+G181)</f>
        <v>37562.003119999994</v>
      </c>
      <c r="H159" s="61">
        <f>SUM(H160+H168+H166+H174+H181)</f>
        <v>36261.78992</v>
      </c>
      <c r="I159" s="163">
        <f t="shared" si="6"/>
        <v>96.53848812097114</v>
      </c>
    </row>
    <row r="160" spans="1:9" ht="36" outlineLevel="2">
      <c r="A160" s="96" t="s">
        <v>379</v>
      </c>
      <c r="B160" s="117" t="s">
        <v>39</v>
      </c>
      <c r="C160" s="117" t="s">
        <v>63</v>
      </c>
      <c r="D160" s="117" t="s">
        <v>6</v>
      </c>
      <c r="E160" s="118">
        <v>0</v>
      </c>
      <c r="F160" s="119"/>
      <c r="G160" s="50">
        <f>SUM(G161+G164)</f>
        <v>123.57628999999999</v>
      </c>
      <c r="H160" s="50">
        <f>SUM(H161+H164)</f>
        <v>123.57628999999999</v>
      </c>
      <c r="I160" s="163">
        <f t="shared" si="6"/>
        <v>100</v>
      </c>
    </row>
    <row r="161" spans="1:9" ht="27" customHeight="1" outlineLevel="3">
      <c r="A161" s="283" t="s">
        <v>219</v>
      </c>
      <c r="B161" s="284" t="s">
        <v>39</v>
      </c>
      <c r="C161" s="284" t="s">
        <v>63</v>
      </c>
      <c r="D161" s="284" t="s">
        <v>6</v>
      </c>
      <c r="E161" s="285">
        <v>3</v>
      </c>
      <c r="F161" s="286"/>
      <c r="G161" s="287">
        <f>SUM(G162:G163)</f>
        <v>42.468</v>
      </c>
      <c r="H161" s="287">
        <f>SUM(H162:H163)</f>
        <v>42.468</v>
      </c>
      <c r="I161" s="163">
        <f t="shared" si="6"/>
        <v>100</v>
      </c>
    </row>
    <row r="162" spans="1:12" ht="0.75" customHeight="1" hidden="1" outlineLevel="3">
      <c r="A162" s="288" t="s">
        <v>175</v>
      </c>
      <c r="B162" s="289" t="s">
        <v>39</v>
      </c>
      <c r="C162" s="289" t="s">
        <v>63</v>
      </c>
      <c r="D162" s="290" t="s">
        <v>6</v>
      </c>
      <c r="E162" s="291">
        <v>3</v>
      </c>
      <c r="F162" s="292">
        <v>400</v>
      </c>
      <c r="G162" s="293">
        <v>0</v>
      </c>
      <c r="H162" s="293">
        <v>0</v>
      </c>
      <c r="I162" s="163" t="e">
        <f t="shared" si="6"/>
        <v>#DIV/0!</v>
      </c>
      <c r="J162" s="215"/>
      <c r="K162" s="215"/>
      <c r="L162" s="215"/>
    </row>
    <row r="163" spans="1:12" ht="24">
      <c r="A163" s="288" t="s">
        <v>172</v>
      </c>
      <c r="B163" s="289" t="s">
        <v>39</v>
      </c>
      <c r="C163" s="289" t="s">
        <v>63</v>
      </c>
      <c r="D163" s="290" t="s">
        <v>6</v>
      </c>
      <c r="E163" s="291">
        <v>3</v>
      </c>
      <c r="F163" s="292">
        <v>600</v>
      </c>
      <c r="G163" s="293">
        <f>42.468</f>
        <v>42.468</v>
      </c>
      <c r="H163" s="293">
        <f>42.468</f>
        <v>42.468</v>
      </c>
      <c r="I163" s="163">
        <f t="shared" si="6"/>
        <v>100</v>
      </c>
      <c r="J163" s="216"/>
      <c r="K163" s="215"/>
      <c r="L163" s="215"/>
    </row>
    <row r="164" spans="1:12" ht="27" customHeight="1">
      <c r="A164" s="96" t="s">
        <v>202</v>
      </c>
      <c r="B164" s="117" t="s">
        <v>39</v>
      </c>
      <c r="C164" s="117" t="s">
        <v>63</v>
      </c>
      <c r="D164" s="117" t="s">
        <v>6</v>
      </c>
      <c r="E164" s="118">
        <v>4</v>
      </c>
      <c r="F164" s="119"/>
      <c r="G164" s="50">
        <f>SUM(G165:G165)</f>
        <v>81.10828999999998</v>
      </c>
      <c r="H164" s="50">
        <f>SUM(H165:H165)</f>
        <v>81.10828999999998</v>
      </c>
      <c r="I164" s="163">
        <f t="shared" si="6"/>
        <v>100</v>
      </c>
      <c r="J164" s="216"/>
      <c r="K164" s="215"/>
      <c r="L164" s="215"/>
    </row>
    <row r="165" spans="1:12" ht="21.75" customHeight="1">
      <c r="A165" s="78" t="s">
        <v>172</v>
      </c>
      <c r="B165" s="120" t="s">
        <v>39</v>
      </c>
      <c r="C165" s="120" t="s">
        <v>63</v>
      </c>
      <c r="D165" s="121" t="s">
        <v>6</v>
      </c>
      <c r="E165" s="122">
        <v>4</v>
      </c>
      <c r="F165" s="123">
        <v>600</v>
      </c>
      <c r="G165" s="51">
        <f>350-3.78721-97.76952-40.6688-5.42048-0.03852-121.20718</f>
        <v>81.10828999999998</v>
      </c>
      <c r="H165" s="51">
        <f>350-3.78721-97.76952-40.6688-5.42048-0.03852-121.20718</f>
        <v>81.10828999999998</v>
      </c>
      <c r="I165" s="163">
        <f t="shared" si="6"/>
        <v>100</v>
      </c>
      <c r="J165" s="217"/>
      <c r="K165" s="215"/>
      <c r="L165" s="215"/>
    </row>
    <row r="166" spans="1:12" ht="73.5" customHeight="1">
      <c r="A166" s="96" t="s">
        <v>263</v>
      </c>
      <c r="B166" s="117" t="s">
        <v>39</v>
      </c>
      <c r="C166" s="117" t="s">
        <v>63</v>
      </c>
      <c r="D166" s="117" t="s">
        <v>220</v>
      </c>
      <c r="E166" s="118">
        <v>0</v>
      </c>
      <c r="F166" s="119"/>
      <c r="G166" s="50">
        <f>SUM(G167:G167)</f>
        <v>148.6804</v>
      </c>
      <c r="H166" s="50">
        <f>SUM(H167:H167)</f>
        <v>148.6804</v>
      </c>
      <c r="I166" s="163">
        <f t="shared" si="6"/>
        <v>100</v>
      </c>
      <c r="J166" s="218">
        <f>SUM(G166+G197)</f>
        <v>1250.556</v>
      </c>
      <c r="K166" s="215"/>
      <c r="L166" s="215"/>
    </row>
    <row r="167" spans="1:9" ht="27" customHeight="1">
      <c r="A167" s="78" t="s">
        <v>172</v>
      </c>
      <c r="B167" s="120" t="s">
        <v>39</v>
      </c>
      <c r="C167" s="120" t="s">
        <v>63</v>
      </c>
      <c r="D167" s="121" t="s">
        <v>220</v>
      </c>
      <c r="E167" s="122">
        <v>0</v>
      </c>
      <c r="F167" s="123">
        <v>600</v>
      </c>
      <c r="G167" s="51">
        <f>165-16.3196</f>
        <v>148.6804</v>
      </c>
      <c r="H167" s="51">
        <f>165-16.3196</f>
        <v>148.6804</v>
      </c>
      <c r="I167" s="163">
        <f t="shared" si="6"/>
        <v>100</v>
      </c>
    </row>
    <row r="168" spans="1:9" ht="36" outlineLevel="5">
      <c r="A168" s="96" t="s">
        <v>380</v>
      </c>
      <c r="B168" s="117" t="s">
        <v>39</v>
      </c>
      <c r="C168" s="117" t="s">
        <v>63</v>
      </c>
      <c r="D168" s="117" t="s">
        <v>19</v>
      </c>
      <c r="E168" s="118">
        <v>0</v>
      </c>
      <c r="F168" s="119"/>
      <c r="G168" s="50">
        <f>SUM(G169:G173)</f>
        <v>24928.72756</v>
      </c>
      <c r="H168" s="50">
        <f>SUM(H169:H173)</f>
        <v>24016.71782</v>
      </c>
      <c r="I168" s="163">
        <f t="shared" si="6"/>
        <v>96.3415311198499</v>
      </c>
    </row>
    <row r="169" spans="1:9" ht="24" outlineLevel="5">
      <c r="A169" s="97" t="s">
        <v>172</v>
      </c>
      <c r="B169" s="120" t="s">
        <v>39</v>
      </c>
      <c r="C169" s="120" t="s">
        <v>63</v>
      </c>
      <c r="D169" s="121" t="s">
        <v>19</v>
      </c>
      <c r="E169" s="122">
        <v>0</v>
      </c>
      <c r="F169" s="123">
        <v>600</v>
      </c>
      <c r="G169" s="51">
        <f>10500+457.08</f>
        <v>10957.08</v>
      </c>
      <c r="H169" s="51">
        <v>10590.07026</v>
      </c>
      <c r="I169" s="163">
        <f t="shared" si="6"/>
        <v>96.65047859466208</v>
      </c>
    </row>
    <row r="170" spans="1:9" ht="40.5" customHeight="1" outlineLevel="5">
      <c r="A170" s="78" t="s">
        <v>148</v>
      </c>
      <c r="B170" s="133" t="s">
        <v>39</v>
      </c>
      <c r="C170" s="133" t="s">
        <v>63</v>
      </c>
      <c r="D170" s="121" t="s">
        <v>19</v>
      </c>
      <c r="E170" s="122">
        <v>0</v>
      </c>
      <c r="F170" s="134">
        <v>600</v>
      </c>
      <c r="G170" s="57">
        <f>13257.6+16.9+651.7</f>
        <v>13926.2</v>
      </c>
      <c r="H170" s="57">
        <v>13381.2</v>
      </c>
      <c r="I170" s="163">
        <f t="shared" si="6"/>
        <v>96.0865131909638</v>
      </c>
    </row>
    <row r="171" spans="1:9" ht="34.5" customHeight="1" hidden="1" outlineLevel="5">
      <c r="A171" s="78" t="s">
        <v>336</v>
      </c>
      <c r="B171" s="133" t="s">
        <v>39</v>
      </c>
      <c r="C171" s="133" t="s">
        <v>63</v>
      </c>
      <c r="D171" s="121" t="s">
        <v>19</v>
      </c>
      <c r="E171" s="122">
        <v>0</v>
      </c>
      <c r="F171" s="134">
        <v>600</v>
      </c>
      <c r="G171" s="57">
        <v>0</v>
      </c>
      <c r="H171" s="57">
        <v>0</v>
      </c>
      <c r="I171" s="163" t="e">
        <f t="shared" si="6"/>
        <v>#DIV/0!</v>
      </c>
    </row>
    <row r="172" spans="1:9" ht="29.25" customHeight="1" outlineLevel="5">
      <c r="A172" s="97" t="s">
        <v>176</v>
      </c>
      <c r="B172" s="133" t="s">
        <v>39</v>
      </c>
      <c r="C172" s="133" t="s">
        <v>63</v>
      </c>
      <c r="D172" s="121" t="s">
        <v>19</v>
      </c>
      <c r="E172" s="122">
        <v>0</v>
      </c>
      <c r="F172" s="134">
        <v>600</v>
      </c>
      <c r="G172" s="57">
        <f>14.1+10.2+21.14756</f>
        <v>45.447559999999996</v>
      </c>
      <c r="H172" s="57">
        <f>14.1+10.2+21.14756</f>
        <v>45.447559999999996</v>
      </c>
      <c r="I172" s="163">
        <f t="shared" si="6"/>
        <v>100</v>
      </c>
    </row>
    <row r="173" spans="1:9" ht="96" hidden="1" outlineLevel="5">
      <c r="A173" s="78" t="s">
        <v>294</v>
      </c>
      <c r="B173" s="133" t="s">
        <v>39</v>
      </c>
      <c r="C173" s="133" t="s">
        <v>63</v>
      </c>
      <c r="D173" s="121" t="s">
        <v>19</v>
      </c>
      <c r="E173" s="122">
        <v>0</v>
      </c>
      <c r="F173" s="134">
        <v>600</v>
      </c>
      <c r="G173" s="57">
        <v>0</v>
      </c>
      <c r="H173" s="57">
        <v>0</v>
      </c>
      <c r="I173" s="163" t="e">
        <f t="shared" si="6"/>
        <v>#DIV/0!</v>
      </c>
    </row>
    <row r="174" spans="1:12" ht="33" customHeight="1" outlineLevel="5">
      <c r="A174" s="96" t="s">
        <v>346</v>
      </c>
      <c r="B174" s="117" t="s">
        <v>39</v>
      </c>
      <c r="C174" s="117" t="s">
        <v>63</v>
      </c>
      <c r="D174" s="117" t="s">
        <v>20</v>
      </c>
      <c r="E174" s="118">
        <v>0</v>
      </c>
      <c r="F174" s="145"/>
      <c r="G174" s="54">
        <f>SUM(G175)</f>
        <v>12333.31887</v>
      </c>
      <c r="H174" s="54">
        <f>SUM(H175)</f>
        <v>11945.11541</v>
      </c>
      <c r="I174" s="163">
        <f t="shared" si="6"/>
        <v>96.85240068718016</v>
      </c>
      <c r="J174" s="74">
        <f>SUM(G174+G200)</f>
        <v>195381.14004999996</v>
      </c>
      <c r="K174" s="74">
        <f>SUM(H174+H200)</f>
        <v>193257.63262999998</v>
      </c>
      <c r="L174" s="74">
        <f>SUM(I174+I200)</f>
        <v>195.9043948880324</v>
      </c>
    </row>
    <row r="175" spans="1:12" ht="15.75" outlineLevel="5">
      <c r="A175" s="96" t="s">
        <v>338</v>
      </c>
      <c r="B175" s="117" t="s">
        <v>39</v>
      </c>
      <c r="C175" s="117" t="s">
        <v>63</v>
      </c>
      <c r="D175" s="117" t="s">
        <v>20</v>
      </c>
      <c r="E175" s="118">
        <v>1</v>
      </c>
      <c r="F175" s="145"/>
      <c r="G175" s="54">
        <f>SUM(G176:G180)</f>
        <v>12333.31887</v>
      </c>
      <c r="H175" s="54">
        <f>SUM(H176:H180)</f>
        <v>11945.11541</v>
      </c>
      <c r="I175" s="163">
        <f t="shared" si="6"/>
        <v>96.85240068718016</v>
      </c>
      <c r="J175" s="74"/>
      <c r="K175" s="74"/>
      <c r="L175" s="74"/>
    </row>
    <row r="176" spans="1:12" ht="63.75" customHeight="1" outlineLevel="5">
      <c r="A176" s="78" t="s">
        <v>253</v>
      </c>
      <c r="B176" s="133" t="s">
        <v>39</v>
      </c>
      <c r="C176" s="133" t="s">
        <v>63</v>
      </c>
      <c r="D176" s="121" t="s">
        <v>20</v>
      </c>
      <c r="E176" s="122">
        <v>1</v>
      </c>
      <c r="F176" s="134">
        <v>600</v>
      </c>
      <c r="G176" s="57">
        <f>9177.3-5.7-1266.7</f>
        <v>7904.899999999999</v>
      </c>
      <c r="H176" s="57">
        <v>7866</v>
      </c>
      <c r="I176" s="163">
        <f t="shared" si="6"/>
        <v>99.50790016318993</v>
      </c>
      <c r="J176" s="74">
        <f>SUM(G176+G209)</f>
        <v>167457.20284999997</v>
      </c>
      <c r="K176" s="74">
        <f>SUM(H176+H209)</f>
        <v>166686.94118</v>
      </c>
      <c r="L176" s="74">
        <f>SUM(I176+I209)</f>
        <v>199.0495165128533</v>
      </c>
    </row>
    <row r="177" spans="1:13" ht="36" hidden="1" outlineLevel="5">
      <c r="A177" s="78" t="s">
        <v>336</v>
      </c>
      <c r="B177" s="133" t="s">
        <v>39</v>
      </c>
      <c r="C177" s="133" t="s">
        <v>63</v>
      </c>
      <c r="D177" s="121" t="s">
        <v>20</v>
      </c>
      <c r="E177" s="122">
        <v>1</v>
      </c>
      <c r="F177" s="134">
        <v>600</v>
      </c>
      <c r="G177" s="57">
        <v>0</v>
      </c>
      <c r="H177" s="57">
        <v>0</v>
      </c>
      <c r="I177" s="163" t="e">
        <f t="shared" si="6"/>
        <v>#DIV/0!</v>
      </c>
      <c r="J177" s="32" t="e">
        <f>SUM(#REF!+#REF!)</f>
        <v>#REF!</v>
      </c>
      <c r="K177" s="32" t="e">
        <f>SUM(#REF!+#REF!)</f>
        <v>#REF!</v>
      </c>
      <c r="L177" s="32">
        <f>SUM(H178+H180)</f>
        <v>4079.11541</v>
      </c>
      <c r="M177" s="32" t="e">
        <f>SUM(I178+I180)</f>
        <v>#DIV/0!</v>
      </c>
    </row>
    <row r="178" spans="1:13" ht="24" customHeight="1" outlineLevel="5">
      <c r="A178" s="97" t="s">
        <v>172</v>
      </c>
      <c r="B178" s="120" t="s">
        <v>39</v>
      </c>
      <c r="C178" s="120" t="s">
        <v>63</v>
      </c>
      <c r="D178" s="121" t="s">
        <v>20</v>
      </c>
      <c r="E178" s="122">
        <v>1</v>
      </c>
      <c r="F178" s="123">
        <v>600</v>
      </c>
      <c r="G178" s="51">
        <f>3300+63.3+108+350+686.5-79.38113</f>
        <v>4428.41887</v>
      </c>
      <c r="H178" s="51">
        <v>4079.11541</v>
      </c>
      <c r="I178" s="163">
        <f t="shared" si="6"/>
        <v>92.11223079265758</v>
      </c>
      <c r="K178" s="32"/>
      <c r="L178" s="32">
        <f>SUM(H174-L177)</f>
        <v>7866</v>
      </c>
      <c r="M178" s="32" t="e">
        <f>SUM(I174-M177)</f>
        <v>#DIV/0!</v>
      </c>
    </row>
    <row r="179" spans="1:9" ht="84" customHeight="1" hidden="1" outlineLevel="5">
      <c r="A179" s="78" t="s">
        <v>310</v>
      </c>
      <c r="B179" s="120" t="s">
        <v>39</v>
      </c>
      <c r="C179" s="120" t="s">
        <v>63</v>
      </c>
      <c r="D179" s="121" t="s">
        <v>20</v>
      </c>
      <c r="E179" s="122">
        <v>0</v>
      </c>
      <c r="F179" s="123">
        <v>600</v>
      </c>
      <c r="G179" s="57">
        <v>0</v>
      </c>
      <c r="H179" s="57">
        <v>0</v>
      </c>
      <c r="I179" s="163" t="e">
        <f t="shared" si="6"/>
        <v>#DIV/0!</v>
      </c>
    </row>
    <row r="180" spans="1:12" ht="96" hidden="1" outlineLevel="5">
      <c r="A180" s="78" t="s">
        <v>319</v>
      </c>
      <c r="B180" s="120" t="s">
        <v>39</v>
      </c>
      <c r="C180" s="120" t="s">
        <v>63</v>
      </c>
      <c r="D180" s="121" t="s">
        <v>20</v>
      </c>
      <c r="E180" s="122">
        <v>0</v>
      </c>
      <c r="F180" s="123">
        <v>600</v>
      </c>
      <c r="G180" s="51">
        <v>0</v>
      </c>
      <c r="H180" s="51">
        <v>0</v>
      </c>
      <c r="I180" s="163" t="e">
        <f t="shared" si="6"/>
        <v>#DIV/0!</v>
      </c>
      <c r="J180" s="32">
        <f>SUM(G180+G202)</f>
        <v>23495.51833</v>
      </c>
      <c r="K180" s="32">
        <f>SUM(H180+H202)</f>
        <v>22491.57604</v>
      </c>
      <c r="L180" s="32" t="e">
        <f>SUM(I180+I202)</f>
        <v>#DIV/0!</v>
      </c>
    </row>
    <row r="181" spans="1:12" ht="27" customHeight="1" outlineLevel="5">
      <c r="A181" s="96" t="s">
        <v>171</v>
      </c>
      <c r="B181" s="117" t="s">
        <v>39</v>
      </c>
      <c r="C181" s="117" t="s">
        <v>63</v>
      </c>
      <c r="D181" s="117" t="s">
        <v>16</v>
      </c>
      <c r="E181" s="118">
        <v>0</v>
      </c>
      <c r="F181" s="119"/>
      <c r="G181" s="50">
        <f>SUM(G182)</f>
        <v>27.7</v>
      </c>
      <c r="H181" s="50">
        <f>SUM(H182)</f>
        <v>27.7</v>
      </c>
      <c r="I181" s="163">
        <f t="shared" si="6"/>
        <v>100</v>
      </c>
      <c r="J181" s="32"/>
      <c r="K181" s="32"/>
      <c r="L181" s="32"/>
    </row>
    <row r="182" spans="1:12" ht="15.75" customHeight="1" outlineLevel="5">
      <c r="A182" s="96" t="s">
        <v>425</v>
      </c>
      <c r="B182" s="117" t="s">
        <v>39</v>
      </c>
      <c r="C182" s="117" t="s">
        <v>63</v>
      </c>
      <c r="D182" s="117" t="s">
        <v>16</v>
      </c>
      <c r="E182" s="118">
        <v>0</v>
      </c>
      <c r="F182" s="119"/>
      <c r="G182" s="50">
        <f>SUM(G183)</f>
        <v>27.7</v>
      </c>
      <c r="H182" s="50">
        <f>SUM(H183)</f>
        <v>27.7</v>
      </c>
      <c r="I182" s="163">
        <f t="shared" si="6"/>
        <v>100</v>
      </c>
      <c r="J182" s="32"/>
      <c r="K182" s="32"/>
      <c r="L182" s="32"/>
    </row>
    <row r="183" spans="1:12" ht="28.5" customHeight="1" outlineLevel="5">
      <c r="A183" s="97" t="s">
        <v>172</v>
      </c>
      <c r="B183" s="133" t="s">
        <v>39</v>
      </c>
      <c r="C183" s="133" t="s">
        <v>63</v>
      </c>
      <c r="D183" s="133" t="s">
        <v>16</v>
      </c>
      <c r="E183" s="135">
        <v>0</v>
      </c>
      <c r="F183" s="134">
        <v>600</v>
      </c>
      <c r="G183" s="51">
        <f>11.3+16.4</f>
        <v>27.7</v>
      </c>
      <c r="H183" s="51">
        <f>11.3+16.4</f>
        <v>27.7</v>
      </c>
      <c r="I183" s="163">
        <f t="shared" si="6"/>
        <v>100</v>
      </c>
      <c r="J183" s="32"/>
      <c r="K183" s="32"/>
      <c r="L183" s="32"/>
    </row>
    <row r="184" spans="1:12" ht="20.25" customHeight="1" outlineLevel="5">
      <c r="A184" s="108" t="s">
        <v>70</v>
      </c>
      <c r="B184" s="146" t="s">
        <v>39</v>
      </c>
      <c r="C184" s="146" t="s">
        <v>65</v>
      </c>
      <c r="D184" s="146"/>
      <c r="E184" s="147"/>
      <c r="F184" s="148"/>
      <c r="G184" s="62">
        <f>SUM(G185)</f>
        <v>202197.42305999997</v>
      </c>
      <c r="H184" s="62">
        <f>SUM(H185)</f>
        <v>199863.11909999998</v>
      </c>
      <c r="I184" s="163">
        <f t="shared" si="6"/>
        <v>98.84553228984164</v>
      </c>
      <c r="J184" s="32" t="e">
        <f>SUM(J176:J180)</f>
        <v>#REF!</v>
      </c>
      <c r="K184" s="32"/>
      <c r="L184" s="32" t="e">
        <f>SUM(L176:L180)</f>
        <v>#DIV/0!</v>
      </c>
    </row>
    <row r="185" spans="1:9" ht="23.25" customHeight="1" outlineLevel="5">
      <c r="A185" s="98" t="s">
        <v>66</v>
      </c>
      <c r="B185" s="127" t="s">
        <v>39</v>
      </c>
      <c r="C185" s="127" t="s">
        <v>65</v>
      </c>
      <c r="D185" s="127"/>
      <c r="E185" s="128"/>
      <c r="F185" s="129"/>
      <c r="G185" s="53">
        <f>SUM(G186+G200+G197+G194)</f>
        <v>202197.42305999997</v>
      </c>
      <c r="H185" s="53">
        <f>SUM(H186+H200+H197+H194)</f>
        <v>199863.11909999998</v>
      </c>
      <c r="I185" s="163">
        <f t="shared" si="6"/>
        <v>98.84553228984164</v>
      </c>
    </row>
    <row r="186" spans="1:9" ht="36" customHeight="1" outlineLevel="5">
      <c r="A186" s="96" t="s">
        <v>379</v>
      </c>
      <c r="B186" s="117" t="s">
        <v>39</v>
      </c>
      <c r="C186" s="117" t="s">
        <v>65</v>
      </c>
      <c r="D186" s="117" t="s">
        <v>6</v>
      </c>
      <c r="E186" s="118">
        <v>0</v>
      </c>
      <c r="F186" s="119"/>
      <c r="G186" s="50">
        <f>SUM(G187+G190)</f>
        <v>18047.726279999995</v>
      </c>
      <c r="H186" s="50">
        <f>SUM(H187+H190)</f>
        <v>17448.72628</v>
      </c>
      <c r="I186" s="163">
        <f t="shared" si="6"/>
        <v>96.6810223586791</v>
      </c>
    </row>
    <row r="187" spans="1:9" ht="22.5" customHeight="1" outlineLevel="5">
      <c r="A187" s="96" t="s">
        <v>219</v>
      </c>
      <c r="B187" s="117" t="s">
        <v>39</v>
      </c>
      <c r="C187" s="117" t="s">
        <v>65</v>
      </c>
      <c r="D187" s="117" t="s">
        <v>6</v>
      </c>
      <c r="E187" s="118">
        <v>3</v>
      </c>
      <c r="F187" s="119"/>
      <c r="G187" s="50">
        <f>SUM(G188:G189)</f>
        <v>16776.792829999995</v>
      </c>
      <c r="H187" s="50">
        <f>SUM(H188:H189)</f>
        <v>16177.79283</v>
      </c>
      <c r="I187" s="163">
        <f t="shared" si="6"/>
        <v>96.429591721912</v>
      </c>
    </row>
    <row r="188" spans="1:9" ht="24" hidden="1" outlineLevel="5">
      <c r="A188" s="78" t="s">
        <v>100</v>
      </c>
      <c r="B188" s="120" t="s">
        <v>39</v>
      </c>
      <c r="C188" s="120" t="s">
        <v>65</v>
      </c>
      <c r="D188" s="121" t="s">
        <v>6</v>
      </c>
      <c r="E188" s="122">
        <v>3</v>
      </c>
      <c r="F188" s="123">
        <v>200</v>
      </c>
      <c r="G188" s="51">
        <v>0</v>
      </c>
      <c r="H188" s="51">
        <v>0</v>
      </c>
      <c r="I188" s="163" t="e">
        <f t="shared" si="6"/>
        <v>#DIV/0!</v>
      </c>
    </row>
    <row r="189" spans="1:9" ht="24" outlineLevel="5">
      <c r="A189" s="78" t="s">
        <v>172</v>
      </c>
      <c r="B189" s="120" t="s">
        <v>39</v>
      </c>
      <c r="C189" s="120" t="s">
        <v>65</v>
      </c>
      <c r="D189" s="121" t="s">
        <v>6</v>
      </c>
      <c r="E189" s="122">
        <v>3</v>
      </c>
      <c r="F189" s="123">
        <v>600</v>
      </c>
      <c r="G189" s="51">
        <f>5000+1000+5400+600.00001+939.9+19.18163+422.57682+1.19549+217.08+300-71.35465+340+353.66446+599+599+599+200+30.38352+24.12201+120+84-0.95646</f>
        <v>16776.792829999995</v>
      </c>
      <c r="H189" s="51">
        <v>16177.79283</v>
      </c>
      <c r="I189" s="163">
        <f t="shared" si="6"/>
        <v>96.429591721912</v>
      </c>
    </row>
    <row r="190" spans="1:9" ht="27" customHeight="1" outlineLevel="5">
      <c r="A190" s="96" t="s">
        <v>202</v>
      </c>
      <c r="B190" s="117" t="s">
        <v>39</v>
      </c>
      <c r="C190" s="117" t="s">
        <v>65</v>
      </c>
      <c r="D190" s="117" t="s">
        <v>6</v>
      </c>
      <c r="E190" s="118">
        <v>4</v>
      </c>
      <c r="F190" s="119"/>
      <c r="G190" s="50">
        <f>SUM(G191:G193)</f>
        <v>1270.93345</v>
      </c>
      <c r="H190" s="50">
        <f>SUM(H191:H193)</f>
        <v>1270.93345</v>
      </c>
      <c r="I190" s="163">
        <f t="shared" si="6"/>
        <v>100</v>
      </c>
    </row>
    <row r="191" spans="1:9" ht="24" customHeight="1" outlineLevel="5">
      <c r="A191" s="78" t="s">
        <v>100</v>
      </c>
      <c r="B191" s="120" t="s">
        <v>39</v>
      </c>
      <c r="C191" s="120" t="s">
        <v>65</v>
      </c>
      <c r="D191" s="121" t="s">
        <v>6</v>
      </c>
      <c r="E191" s="122">
        <v>4</v>
      </c>
      <c r="F191" s="123">
        <v>200</v>
      </c>
      <c r="G191" s="51">
        <f>60-50.543</f>
        <v>9.457</v>
      </c>
      <c r="H191" s="51">
        <f>60-50.543</f>
        <v>9.457</v>
      </c>
      <c r="I191" s="163">
        <f t="shared" si="6"/>
        <v>100</v>
      </c>
    </row>
    <row r="192" spans="1:9" ht="24" customHeight="1" outlineLevel="5">
      <c r="A192" s="97" t="s">
        <v>172</v>
      </c>
      <c r="B192" s="120" t="s">
        <v>39</v>
      </c>
      <c r="C192" s="120" t="s">
        <v>65</v>
      </c>
      <c r="D192" s="121" t="s">
        <v>6</v>
      </c>
      <c r="E192" s="122">
        <v>4</v>
      </c>
      <c r="F192" s="123">
        <v>600</v>
      </c>
      <c r="G192" s="51">
        <f>540-20-10.38352-148.69848+5.42048+0.03852-157.53213</f>
        <v>208.84487000000001</v>
      </c>
      <c r="H192" s="51">
        <f>540-20-10.38352-148.69848+5.42048+0.03852-157.53213</f>
        <v>208.84487000000001</v>
      </c>
      <c r="I192" s="163">
        <f t="shared" si="6"/>
        <v>100</v>
      </c>
    </row>
    <row r="193" spans="1:9" ht="51.75" customHeight="1" outlineLevel="5">
      <c r="A193" s="97" t="s">
        <v>309</v>
      </c>
      <c r="B193" s="120" t="s">
        <v>39</v>
      </c>
      <c r="C193" s="120" t="s">
        <v>65</v>
      </c>
      <c r="D193" s="121" t="s">
        <v>6</v>
      </c>
      <c r="E193" s="122">
        <v>4</v>
      </c>
      <c r="F193" s="123">
        <v>600</v>
      </c>
      <c r="G193" s="51">
        <f>1000+52.63158</f>
        <v>1052.63158</v>
      </c>
      <c r="H193" s="51">
        <f>1000+52.63158</f>
        <v>1052.63158</v>
      </c>
      <c r="I193" s="163">
        <f t="shared" si="6"/>
        <v>100</v>
      </c>
    </row>
    <row r="194" spans="1:9" ht="28.5" customHeight="1" hidden="1" outlineLevel="5">
      <c r="A194" s="96" t="s">
        <v>273</v>
      </c>
      <c r="B194" s="117" t="s">
        <v>39</v>
      </c>
      <c r="C194" s="117" t="s">
        <v>65</v>
      </c>
      <c r="D194" s="117" t="s">
        <v>18</v>
      </c>
      <c r="E194" s="118">
        <v>0</v>
      </c>
      <c r="F194" s="119"/>
      <c r="G194" s="50">
        <f>SUM(G195:G196)</f>
        <v>0</v>
      </c>
      <c r="H194" s="50">
        <f>SUM(H195:H196)</f>
        <v>0</v>
      </c>
      <c r="I194" s="163" t="e">
        <f t="shared" si="6"/>
        <v>#DIV/0!</v>
      </c>
    </row>
    <row r="195" spans="1:9" ht="61.5" customHeight="1" hidden="1" outlineLevel="5">
      <c r="A195" s="78" t="s">
        <v>314</v>
      </c>
      <c r="B195" s="133" t="s">
        <v>39</v>
      </c>
      <c r="C195" s="120" t="s">
        <v>65</v>
      </c>
      <c r="D195" s="121" t="s">
        <v>18</v>
      </c>
      <c r="E195" s="122">
        <v>0</v>
      </c>
      <c r="F195" s="134">
        <v>600</v>
      </c>
      <c r="G195" s="57">
        <v>0</v>
      </c>
      <c r="H195" s="57">
        <v>0</v>
      </c>
      <c r="I195" s="163" t="e">
        <f t="shared" si="6"/>
        <v>#DIV/0!</v>
      </c>
    </row>
    <row r="196" spans="1:9" ht="0.75" customHeight="1" hidden="1" outlineLevel="5">
      <c r="A196" s="78" t="s">
        <v>315</v>
      </c>
      <c r="B196" s="133" t="s">
        <v>39</v>
      </c>
      <c r="C196" s="120" t="s">
        <v>65</v>
      </c>
      <c r="D196" s="121" t="s">
        <v>18</v>
      </c>
      <c r="E196" s="122">
        <v>0</v>
      </c>
      <c r="F196" s="134">
        <v>600</v>
      </c>
      <c r="G196" s="57">
        <v>0</v>
      </c>
      <c r="H196" s="57">
        <v>0</v>
      </c>
      <c r="I196" s="163" t="e">
        <f t="shared" si="6"/>
        <v>#DIV/0!</v>
      </c>
    </row>
    <row r="197" spans="1:11" ht="75" customHeight="1" outlineLevel="3">
      <c r="A197" s="96" t="s">
        <v>263</v>
      </c>
      <c r="B197" s="117" t="s">
        <v>39</v>
      </c>
      <c r="C197" s="117" t="s">
        <v>65</v>
      </c>
      <c r="D197" s="117" t="s">
        <v>220</v>
      </c>
      <c r="E197" s="118">
        <v>0</v>
      </c>
      <c r="F197" s="119"/>
      <c r="G197" s="50">
        <f>SUM(G198:G199)</f>
        <v>1101.8756</v>
      </c>
      <c r="H197" s="50">
        <f>SUM(H198:H199)</f>
        <v>1101.8756</v>
      </c>
      <c r="I197" s="163">
        <f t="shared" si="6"/>
        <v>100</v>
      </c>
      <c r="J197" s="32" t="e">
        <f>SUM(#REF!+#REF!+#REF!+#REF!+#REF!)</f>
        <v>#REF!</v>
      </c>
      <c r="K197" s="32">
        <f>SUM(H210+H211+H213+H217+H218)</f>
        <v>133803.13833</v>
      </c>
    </row>
    <row r="198" spans="1:11" ht="27.75" customHeight="1" outlineLevel="3">
      <c r="A198" s="97" t="s">
        <v>100</v>
      </c>
      <c r="B198" s="133" t="s">
        <v>39</v>
      </c>
      <c r="C198" s="133" t="s">
        <v>65</v>
      </c>
      <c r="D198" s="121" t="s">
        <v>220</v>
      </c>
      <c r="E198" s="122">
        <v>0</v>
      </c>
      <c r="F198" s="134">
        <v>200</v>
      </c>
      <c r="G198" s="57">
        <f>42-4.252-0.00029</f>
        <v>37.74771</v>
      </c>
      <c r="H198" s="57">
        <f>42-4.252-0.00029</f>
        <v>37.74771</v>
      </c>
      <c r="I198" s="163">
        <f t="shared" si="6"/>
        <v>100</v>
      </c>
      <c r="J198" s="32"/>
      <c r="K198" s="32"/>
    </row>
    <row r="199" spans="1:9" ht="24" outlineLevel="3">
      <c r="A199" s="78" t="s">
        <v>172</v>
      </c>
      <c r="B199" s="120" t="s">
        <v>39</v>
      </c>
      <c r="C199" s="120" t="s">
        <v>65</v>
      </c>
      <c r="D199" s="121" t="s">
        <v>220</v>
      </c>
      <c r="E199" s="122">
        <v>0</v>
      </c>
      <c r="F199" s="123">
        <v>600</v>
      </c>
      <c r="G199" s="51">
        <f>1043.556+16.3196+4.252+0.00029</f>
        <v>1064.12789</v>
      </c>
      <c r="H199" s="51">
        <f>1043.556+16.3196+4.252+0.00029</f>
        <v>1064.12789</v>
      </c>
      <c r="I199" s="163">
        <f t="shared" si="6"/>
        <v>100</v>
      </c>
    </row>
    <row r="200" spans="1:12" ht="25.5" customHeight="1" outlineLevel="3">
      <c r="A200" s="96" t="s">
        <v>346</v>
      </c>
      <c r="B200" s="117" t="s">
        <v>39</v>
      </c>
      <c r="C200" s="117" t="s">
        <v>65</v>
      </c>
      <c r="D200" s="117" t="s">
        <v>20</v>
      </c>
      <c r="E200" s="118">
        <v>0</v>
      </c>
      <c r="F200" s="145"/>
      <c r="G200" s="54">
        <f>SUM(G201)</f>
        <v>183047.82117999997</v>
      </c>
      <c r="H200" s="54">
        <f>SUM(H201)</f>
        <v>181312.51721999998</v>
      </c>
      <c r="I200" s="163">
        <f t="shared" si="6"/>
        <v>99.05199420085225</v>
      </c>
      <c r="J200" s="74">
        <f>SUM(G200+G174)</f>
        <v>195381.14004999996</v>
      </c>
      <c r="K200" s="74">
        <f>SUM(H200+H174)</f>
        <v>193257.63262999998</v>
      </c>
      <c r="L200" s="74">
        <f>SUM(I200+I174)</f>
        <v>195.9043948880324</v>
      </c>
    </row>
    <row r="201" spans="1:12" ht="15.75" outlineLevel="3">
      <c r="A201" s="96" t="s">
        <v>339</v>
      </c>
      <c r="B201" s="117" t="s">
        <v>39</v>
      </c>
      <c r="C201" s="117" t="s">
        <v>65</v>
      </c>
      <c r="D201" s="117" t="s">
        <v>20</v>
      </c>
      <c r="E201" s="118">
        <v>2</v>
      </c>
      <c r="F201" s="145"/>
      <c r="G201" s="54">
        <f>SUM(G202+G209)</f>
        <v>183047.82117999997</v>
      </c>
      <c r="H201" s="54">
        <f>SUM(H202+H209)</f>
        <v>181312.51721999998</v>
      </c>
      <c r="I201" s="163">
        <f t="shared" si="6"/>
        <v>99.05199420085225</v>
      </c>
      <c r="J201" s="74"/>
      <c r="K201" s="74"/>
      <c r="L201" s="74"/>
    </row>
    <row r="202" spans="1:9" ht="18" customHeight="1" outlineLevel="3">
      <c r="A202" s="96" t="s">
        <v>69</v>
      </c>
      <c r="B202" s="117" t="s">
        <v>39</v>
      </c>
      <c r="C202" s="117" t="s">
        <v>65</v>
      </c>
      <c r="D202" s="117" t="s">
        <v>20</v>
      </c>
      <c r="E202" s="118">
        <v>2</v>
      </c>
      <c r="F202" s="119"/>
      <c r="G202" s="50">
        <f>SUM(G203:G208)</f>
        <v>23495.51833</v>
      </c>
      <c r="H202" s="50">
        <f>SUM(H203:H208)</f>
        <v>22491.57604</v>
      </c>
      <c r="I202" s="163">
        <f aca="true" t="shared" si="7" ref="I202:I265">SUM(H202/G202)*100</f>
        <v>95.727090265048</v>
      </c>
    </row>
    <row r="203" spans="1:11" ht="47.25" customHeight="1" outlineLevel="3">
      <c r="A203" s="97" t="s">
        <v>99</v>
      </c>
      <c r="B203" s="133" t="s">
        <v>39</v>
      </c>
      <c r="C203" s="133" t="s">
        <v>65</v>
      </c>
      <c r="D203" s="121" t="s">
        <v>20</v>
      </c>
      <c r="E203" s="122">
        <v>2</v>
      </c>
      <c r="F203" s="134">
        <v>100</v>
      </c>
      <c r="G203" s="57">
        <f>200-120+45.58417-0.02876</f>
        <v>125.55541</v>
      </c>
      <c r="H203" s="57">
        <f>200-120+45.58417-0.02876</f>
        <v>125.55541</v>
      </c>
      <c r="I203" s="163">
        <f t="shared" si="7"/>
        <v>100</v>
      </c>
      <c r="J203" s="32" t="e">
        <f>SUM(#REF!+#REF!)</f>
        <v>#REF!</v>
      </c>
      <c r="K203" s="32">
        <f>SUM(H214+H220)</f>
        <v>5166.5</v>
      </c>
    </row>
    <row r="204" spans="1:12" ht="24" outlineLevel="3">
      <c r="A204" s="97" t="s">
        <v>100</v>
      </c>
      <c r="B204" s="133" t="s">
        <v>39</v>
      </c>
      <c r="C204" s="133" t="s">
        <v>65</v>
      </c>
      <c r="D204" s="121" t="s">
        <v>20</v>
      </c>
      <c r="E204" s="122">
        <v>2</v>
      </c>
      <c r="F204" s="134">
        <v>200</v>
      </c>
      <c r="G204" s="57">
        <f>600+5.369-42.49653-267.3227</f>
        <v>295.54977</v>
      </c>
      <c r="H204" s="57">
        <f>600+5.369-42.49653-267.3227</f>
        <v>295.54977</v>
      </c>
      <c r="I204" s="163">
        <f t="shared" si="7"/>
        <v>100</v>
      </c>
      <c r="J204" s="32" t="e">
        <f>SUM(#REF!+#REF!+#REF!)</f>
        <v>#REF!</v>
      </c>
      <c r="K204" s="32">
        <f>SUM(H210+H213+H217)</f>
        <v>133803.13833</v>
      </c>
      <c r="L204" s="32">
        <f>SUM(I210+I213+I217)</f>
        <v>299.43773941532413</v>
      </c>
    </row>
    <row r="205" spans="1:12" ht="48" outlineLevel="3">
      <c r="A205" s="97" t="s">
        <v>333</v>
      </c>
      <c r="B205" s="133" t="s">
        <v>39</v>
      </c>
      <c r="C205" s="133" t="s">
        <v>65</v>
      </c>
      <c r="D205" s="121" t="s">
        <v>20</v>
      </c>
      <c r="E205" s="122">
        <v>2</v>
      </c>
      <c r="F205" s="134">
        <v>200</v>
      </c>
      <c r="G205" s="57">
        <f>24.9+6.441-3.56661</f>
        <v>27.774389999999997</v>
      </c>
      <c r="H205" s="57">
        <f>24.9+6.441-3.56661</f>
        <v>27.774389999999997</v>
      </c>
      <c r="I205" s="163">
        <f t="shared" si="7"/>
        <v>100</v>
      </c>
      <c r="J205" s="32">
        <f>SUM(G205+G208)</f>
        <v>1970.08095</v>
      </c>
      <c r="K205" s="32">
        <f>SUM(H205+H208)</f>
        <v>1970.08095</v>
      </c>
      <c r="L205" s="32">
        <f>SUM(I205+I208)</f>
        <v>200</v>
      </c>
    </row>
    <row r="206" spans="1:12" ht="15.75" outlineLevel="3">
      <c r="A206" s="78" t="s">
        <v>142</v>
      </c>
      <c r="B206" s="133" t="s">
        <v>39</v>
      </c>
      <c r="C206" s="133" t="s">
        <v>65</v>
      </c>
      <c r="D206" s="121" t="s">
        <v>20</v>
      </c>
      <c r="E206" s="122">
        <v>2</v>
      </c>
      <c r="F206" s="134">
        <v>800</v>
      </c>
      <c r="G206" s="57">
        <f>35-8.31229</f>
        <v>26.68771</v>
      </c>
      <c r="H206" s="57">
        <f>35-8.31229</f>
        <v>26.68771</v>
      </c>
      <c r="I206" s="163">
        <f t="shared" si="7"/>
        <v>100</v>
      </c>
      <c r="J206" s="32" t="e">
        <f>SUM(J204-#REF!)</f>
        <v>#REF!</v>
      </c>
      <c r="K206" s="32">
        <f>SUM(K204-H361)</f>
        <v>10035.43832999999</v>
      </c>
      <c r="L206" s="32">
        <f>SUM(L204-I361)</f>
        <v>-115631.06226058467</v>
      </c>
    </row>
    <row r="207" spans="1:9" ht="29.25" customHeight="1" outlineLevel="3">
      <c r="A207" s="97" t="s">
        <v>172</v>
      </c>
      <c r="B207" s="133" t="s">
        <v>39</v>
      </c>
      <c r="C207" s="133" t="s">
        <v>65</v>
      </c>
      <c r="D207" s="121" t="s">
        <v>20</v>
      </c>
      <c r="E207" s="122">
        <v>2</v>
      </c>
      <c r="F207" s="134">
        <v>600</v>
      </c>
      <c r="G207" s="57">
        <f>20500-108+362.92-350+546.8+55-5.369-3.08764+79.38113</f>
        <v>21077.64449</v>
      </c>
      <c r="H207" s="57">
        <v>20073.7022</v>
      </c>
      <c r="I207" s="163">
        <f t="shared" si="7"/>
        <v>95.23693318541213</v>
      </c>
    </row>
    <row r="208" spans="1:10" ht="52.5" customHeight="1" outlineLevel="3">
      <c r="A208" s="97" t="s">
        <v>357</v>
      </c>
      <c r="B208" s="133" t="s">
        <v>39</v>
      </c>
      <c r="C208" s="133" t="s">
        <v>65</v>
      </c>
      <c r="D208" s="121" t="s">
        <v>20</v>
      </c>
      <c r="E208" s="122">
        <v>2</v>
      </c>
      <c r="F208" s="134">
        <v>600</v>
      </c>
      <c r="G208" s="57">
        <f>1907.3+37.88095-6.441+3.56661</f>
        <v>1942.30656</v>
      </c>
      <c r="H208" s="57">
        <f>1907.3+37.88095-6.441+3.56661</f>
        <v>1942.30656</v>
      </c>
      <c r="I208" s="163">
        <f t="shared" si="7"/>
        <v>100</v>
      </c>
      <c r="J208" s="32">
        <f>SUM(G208+G205)</f>
        <v>1970.08095</v>
      </c>
    </row>
    <row r="209" spans="1:12" ht="18.75" customHeight="1" outlineLevel="3">
      <c r="A209" s="96" t="s">
        <v>177</v>
      </c>
      <c r="B209" s="117" t="s">
        <v>39</v>
      </c>
      <c r="C209" s="117" t="s">
        <v>65</v>
      </c>
      <c r="D209" s="117" t="s">
        <v>20</v>
      </c>
      <c r="E209" s="118">
        <v>2</v>
      </c>
      <c r="F209" s="119"/>
      <c r="G209" s="50">
        <f>SUM(G210:G221)</f>
        <v>159552.30284999998</v>
      </c>
      <c r="H209" s="50">
        <f>SUM(H210:H221)</f>
        <v>158820.94118</v>
      </c>
      <c r="I209" s="163">
        <f t="shared" si="7"/>
        <v>99.54161634966337</v>
      </c>
      <c r="J209" s="74">
        <f>SUM(G176+G177+G179+G209-806.577)</f>
        <v>166650.62584999998</v>
      </c>
      <c r="K209" s="74">
        <f>SUM(H176+H177+H179+H209)</f>
        <v>166686.94118</v>
      </c>
      <c r="L209" s="74" t="e">
        <f>SUM(I176+I177+I179+I209)</f>
        <v>#DIV/0!</v>
      </c>
    </row>
    <row r="210" spans="1:13" ht="46.5" customHeight="1" outlineLevel="3">
      <c r="A210" s="97" t="s">
        <v>99</v>
      </c>
      <c r="B210" s="120" t="s">
        <v>39</v>
      </c>
      <c r="C210" s="120" t="s">
        <v>65</v>
      </c>
      <c r="D210" s="121" t="s">
        <v>20</v>
      </c>
      <c r="E210" s="122">
        <v>2</v>
      </c>
      <c r="F210" s="123">
        <v>100</v>
      </c>
      <c r="G210" s="58">
        <f>3154.6+200+1074.3</f>
        <v>4428.9</v>
      </c>
      <c r="H210" s="58">
        <f>3154.6+200+1074.3</f>
        <v>4428.9</v>
      </c>
      <c r="I210" s="163">
        <f t="shared" si="7"/>
        <v>100</v>
      </c>
      <c r="J210" s="169" t="e">
        <f>SUM(#REF!+#REF!+#REF!)</f>
        <v>#REF!</v>
      </c>
      <c r="K210" s="169">
        <f>SUM(G210+G213+G217)</f>
        <v>134534.5</v>
      </c>
      <c r="L210" s="169">
        <f>SUM(H210+H213+H217)</f>
        <v>133803.13833</v>
      </c>
      <c r="M210" s="169">
        <f>SUM(I210+I213+I217)</f>
        <v>299.43773941532413</v>
      </c>
    </row>
    <row r="211" spans="1:13" ht="36" hidden="1" outlineLevel="3">
      <c r="A211" s="97" t="s">
        <v>335</v>
      </c>
      <c r="B211" s="120" t="s">
        <v>39</v>
      </c>
      <c r="C211" s="120" t="s">
        <v>65</v>
      </c>
      <c r="D211" s="121" t="s">
        <v>20</v>
      </c>
      <c r="E211" s="122">
        <v>2</v>
      </c>
      <c r="F211" s="123">
        <v>100</v>
      </c>
      <c r="G211" s="57">
        <v>0</v>
      </c>
      <c r="H211" s="57">
        <v>0</v>
      </c>
      <c r="I211" s="163" t="e">
        <f t="shared" si="7"/>
        <v>#DIV/0!</v>
      </c>
      <c r="J211" s="74" t="e">
        <f>SUM(J209-J210)</f>
        <v>#REF!</v>
      </c>
      <c r="M211" s="4"/>
    </row>
    <row r="212" spans="1:9" ht="36" outlineLevel="3">
      <c r="A212" s="97" t="s">
        <v>326</v>
      </c>
      <c r="B212" s="120" t="s">
        <v>39</v>
      </c>
      <c r="C212" s="120" t="s">
        <v>65</v>
      </c>
      <c r="D212" s="121" t="s">
        <v>20</v>
      </c>
      <c r="E212" s="122">
        <v>2</v>
      </c>
      <c r="F212" s="123">
        <v>100</v>
      </c>
      <c r="G212" s="58">
        <f>546.8+26.442</f>
        <v>573.242</v>
      </c>
      <c r="H212" s="58">
        <f>546.8+26.442</f>
        <v>573.242</v>
      </c>
      <c r="I212" s="163">
        <f t="shared" si="7"/>
        <v>100</v>
      </c>
    </row>
    <row r="213" spans="1:9" ht="27" customHeight="1" outlineLevel="3">
      <c r="A213" s="97" t="s">
        <v>100</v>
      </c>
      <c r="B213" s="120" t="s">
        <v>39</v>
      </c>
      <c r="C213" s="120" t="s">
        <v>65</v>
      </c>
      <c r="D213" s="121" t="s">
        <v>20</v>
      </c>
      <c r="E213" s="122">
        <v>2</v>
      </c>
      <c r="F213" s="123">
        <v>200</v>
      </c>
      <c r="G213" s="58">
        <f>174-128.8-14.816</f>
        <v>30.383999999999986</v>
      </c>
      <c r="H213" s="58">
        <f>174-128.8-14.816</f>
        <v>30.383999999999986</v>
      </c>
      <c r="I213" s="163">
        <f t="shared" si="7"/>
        <v>100</v>
      </c>
    </row>
    <row r="214" spans="1:13" ht="16.5" customHeight="1" outlineLevel="3">
      <c r="A214" s="97" t="s">
        <v>68</v>
      </c>
      <c r="B214" s="120" t="s">
        <v>39</v>
      </c>
      <c r="C214" s="120" t="s">
        <v>65</v>
      </c>
      <c r="D214" s="121" t="s">
        <v>20</v>
      </c>
      <c r="E214" s="122">
        <v>2</v>
      </c>
      <c r="F214" s="123">
        <v>200</v>
      </c>
      <c r="G214" s="58">
        <f>47.6+13.885+10.64613</f>
        <v>72.13113</v>
      </c>
      <c r="H214" s="58">
        <f>47.6+13.885+10.64613</f>
        <v>72.13113</v>
      </c>
      <c r="I214" s="163">
        <f t="shared" si="7"/>
        <v>100</v>
      </c>
      <c r="J214" s="32" t="e">
        <f>SUM(#REF!+#REF!)</f>
        <v>#REF!</v>
      </c>
      <c r="K214" s="32"/>
      <c r="L214" s="32">
        <f>SUM(H214+H220)</f>
        <v>5166.5</v>
      </c>
      <c r="M214" s="32">
        <f>SUM(I214+I220)</f>
        <v>200</v>
      </c>
    </row>
    <row r="215" spans="1:11" ht="34.5" customHeight="1" outlineLevel="3">
      <c r="A215" s="97" t="s">
        <v>331</v>
      </c>
      <c r="B215" s="120" t="s">
        <v>39</v>
      </c>
      <c r="C215" s="120" t="s">
        <v>65</v>
      </c>
      <c r="D215" s="121" t="s">
        <v>20</v>
      </c>
      <c r="E215" s="122">
        <v>2</v>
      </c>
      <c r="F215" s="123">
        <v>200</v>
      </c>
      <c r="G215" s="58">
        <f>76.2+10-0.97853</f>
        <v>85.22147</v>
      </c>
      <c r="H215" s="58">
        <f>76.2+10-0.97853</f>
        <v>85.22147</v>
      </c>
      <c r="I215" s="163">
        <f t="shared" si="7"/>
        <v>100</v>
      </c>
      <c r="J215" s="32"/>
      <c r="K215" s="32"/>
    </row>
    <row r="216" spans="1:12" ht="48" outlineLevel="3">
      <c r="A216" s="97" t="s">
        <v>352</v>
      </c>
      <c r="B216" s="133" t="s">
        <v>39</v>
      </c>
      <c r="C216" s="133" t="s">
        <v>65</v>
      </c>
      <c r="D216" s="121" t="s">
        <v>20</v>
      </c>
      <c r="E216" s="122">
        <v>2</v>
      </c>
      <c r="F216" s="134">
        <v>600</v>
      </c>
      <c r="G216" s="58">
        <f>5922.5-76.2+122.39443-10+0.97853</f>
        <v>5959.672960000001</v>
      </c>
      <c r="H216" s="58">
        <f>5922.5-76.2+122.39443-10+0.97853</f>
        <v>5959.672960000001</v>
      </c>
      <c r="I216" s="163">
        <f t="shared" si="7"/>
        <v>100</v>
      </c>
      <c r="J216" s="192">
        <f>SUM(G347+G361+G387+G394+G393)</f>
        <v>159597.75040999998</v>
      </c>
      <c r="K216" s="192">
        <f>SUM(H347+H361+H387+H394+H393)</f>
        <v>146200.80000000002</v>
      </c>
      <c r="L216" s="192">
        <f>SUM(I347+I361+I387+I394+I393)</f>
        <v>138470.4</v>
      </c>
    </row>
    <row r="217" spans="1:11" ht="15.75" customHeight="1" outlineLevel="3">
      <c r="A217" s="78" t="s">
        <v>67</v>
      </c>
      <c r="B217" s="133" t="s">
        <v>39</v>
      </c>
      <c r="C217" s="133" t="s">
        <v>65</v>
      </c>
      <c r="D217" s="121" t="s">
        <v>20</v>
      </c>
      <c r="E217" s="122">
        <v>2</v>
      </c>
      <c r="F217" s="134">
        <v>600</v>
      </c>
      <c r="G217" s="58">
        <f>97245.7-G210-G213+27443.4+9845.4</f>
        <v>130075.21599999999</v>
      </c>
      <c r="H217" s="58">
        <v>129343.85433</v>
      </c>
      <c r="I217" s="163">
        <f t="shared" si="7"/>
        <v>99.43773941532415</v>
      </c>
      <c r="J217" s="192">
        <f>SUM(G215:G216)</f>
        <v>6044.894430000001</v>
      </c>
      <c r="K217" s="209"/>
    </row>
    <row r="218" spans="1:9" ht="1.5" customHeight="1" hidden="1" outlineLevel="3">
      <c r="A218" s="78" t="s">
        <v>336</v>
      </c>
      <c r="B218" s="133" t="s">
        <v>39</v>
      </c>
      <c r="C218" s="133" t="s">
        <v>65</v>
      </c>
      <c r="D218" s="121" t="s">
        <v>20</v>
      </c>
      <c r="E218" s="122">
        <v>2</v>
      </c>
      <c r="F218" s="134">
        <v>600</v>
      </c>
      <c r="G218" s="58">
        <v>0</v>
      </c>
      <c r="H218" s="58">
        <v>0</v>
      </c>
      <c r="I218" s="163" t="e">
        <f t="shared" si="7"/>
        <v>#DIV/0!</v>
      </c>
    </row>
    <row r="219" spans="1:9" ht="36" outlineLevel="3">
      <c r="A219" s="97" t="s">
        <v>326</v>
      </c>
      <c r="B219" s="133" t="s">
        <v>39</v>
      </c>
      <c r="C219" s="133" t="s">
        <v>65</v>
      </c>
      <c r="D219" s="121" t="s">
        <v>20</v>
      </c>
      <c r="E219" s="122">
        <v>2</v>
      </c>
      <c r="F219" s="134">
        <v>600</v>
      </c>
      <c r="G219" s="58">
        <f>11327.4-G212+923.96005+1544.7059-126.30997</f>
        <v>13096.513979999998</v>
      </c>
      <c r="H219" s="58">
        <f>11327.4-H212+923.96005+1544.7059-126.30997</f>
        <v>13096.513979999998</v>
      </c>
      <c r="I219" s="163">
        <f t="shared" si="7"/>
        <v>100</v>
      </c>
    </row>
    <row r="220" spans="1:12" ht="14.25" customHeight="1" outlineLevel="3">
      <c r="A220" s="78" t="s">
        <v>68</v>
      </c>
      <c r="B220" s="133" t="s">
        <v>39</v>
      </c>
      <c r="C220" s="133" t="s">
        <v>65</v>
      </c>
      <c r="D220" s="121" t="s">
        <v>20</v>
      </c>
      <c r="E220" s="122">
        <v>2</v>
      </c>
      <c r="F220" s="134">
        <v>600</v>
      </c>
      <c r="G220" s="58">
        <f>4986-G214+180.5</f>
        <v>5094.36887</v>
      </c>
      <c r="H220" s="58">
        <f>4986-H214+180.5</f>
        <v>5094.36887</v>
      </c>
      <c r="I220" s="163">
        <f t="shared" si="7"/>
        <v>100</v>
      </c>
      <c r="J220" s="32">
        <f>SUM(G220+G214)</f>
        <v>5166.5</v>
      </c>
      <c r="K220" s="32">
        <f>SUM(H220+H214)</f>
        <v>5166.5</v>
      </c>
      <c r="L220" s="32">
        <f>SUM(I220+I214)</f>
        <v>200</v>
      </c>
    </row>
    <row r="221" spans="1:9" ht="24" customHeight="1" outlineLevel="3">
      <c r="A221" s="97" t="s">
        <v>176</v>
      </c>
      <c r="B221" s="133" t="s">
        <v>39</v>
      </c>
      <c r="C221" s="133" t="s">
        <v>65</v>
      </c>
      <c r="D221" s="121" t="s">
        <v>20</v>
      </c>
      <c r="E221" s="122">
        <v>2</v>
      </c>
      <c r="F221" s="134">
        <v>600</v>
      </c>
      <c r="G221" s="57">
        <f>168-10.2-21.14756</f>
        <v>136.65244</v>
      </c>
      <c r="H221" s="57">
        <f>168-10.2-21.14756</f>
        <v>136.65244</v>
      </c>
      <c r="I221" s="163">
        <f t="shared" si="7"/>
        <v>100</v>
      </c>
    </row>
    <row r="222" spans="1:9" ht="13.5" customHeight="1" outlineLevel="1">
      <c r="A222" s="109" t="s">
        <v>227</v>
      </c>
      <c r="B222" s="149" t="s">
        <v>39</v>
      </c>
      <c r="C222" s="149" t="s">
        <v>228</v>
      </c>
      <c r="D222" s="149"/>
      <c r="E222" s="150"/>
      <c r="F222" s="151"/>
      <c r="G222" s="63">
        <f>SUM(G226+G223)</f>
        <v>10277.70144</v>
      </c>
      <c r="H222" s="63">
        <f>SUM(H226+H223)</f>
        <v>10277.70144</v>
      </c>
      <c r="I222" s="163">
        <f t="shared" si="7"/>
        <v>100</v>
      </c>
    </row>
    <row r="223" spans="1:9" ht="0.75" customHeight="1" hidden="1" outlineLevel="1">
      <c r="A223" s="96" t="s">
        <v>283</v>
      </c>
      <c r="B223" s="117" t="s">
        <v>39</v>
      </c>
      <c r="C223" s="117" t="s">
        <v>228</v>
      </c>
      <c r="D223" s="117" t="s">
        <v>6</v>
      </c>
      <c r="E223" s="118">
        <v>0</v>
      </c>
      <c r="F223" s="119"/>
      <c r="G223" s="50">
        <f>SUM(G224)</f>
        <v>0</v>
      </c>
      <c r="H223" s="50">
        <f>SUM(H224)</f>
        <v>0</v>
      </c>
      <c r="I223" s="163" t="e">
        <f t="shared" si="7"/>
        <v>#DIV/0!</v>
      </c>
    </row>
    <row r="224" spans="1:9" ht="24" hidden="1" outlineLevel="1">
      <c r="A224" s="96" t="s">
        <v>219</v>
      </c>
      <c r="B224" s="117" t="s">
        <v>39</v>
      </c>
      <c r="C224" s="117" t="s">
        <v>228</v>
      </c>
      <c r="D224" s="117" t="s">
        <v>6</v>
      </c>
      <c r="E224" s="118">
        <v>3</v>
      </c>
      <c r="F224" s="119"/>
      <c r="G224" s="50">
        <f>SUM(G225:G225)</f>
        <v>0</v>
      </c>
      <c r="H224" s="50">
        <f>SUM(H225:H225)</f>
        <v>0</v>
      </c>
      <c r="I224" s="163" t="e">
        <f t="shared" si="7"/>
        <v>#DIV/0!</v>
      </c>
    </row>
    <row r="225" spans="1:9" ht="24" hidden="1" outlineLevel="1">
      <c r="A225" s="78" t="s">
        <v>172</v>
      </c>
      <c r="B225" s="120" t="s">
        <v>39</v>
      </c>
      <c r="C225" s="133" t="s">
        <v>228</v>
      </c>
      <c r="D225" s="121" t="s">
        <v>6</v>
      </c>
      <c r="E225" s="122">
        <v>3</v>
      </c>
      <c r="F225" s="123">
        <v>600</v>
      </c>
      <c r="G225" s="51">
        <v>0</v>
      </c>
      <c r="H225" s="51">
        <v>0</v>
      </c>
      <c r="I225" s="163" t="e">
        <f t="shared" si="7"/>
        <v>#DIV/0!</v>
      </c>
    </row>
    <row r="226" spans="1:9" ht="28.5" customHeight="1" outlineLevel="1">
      <c r="A226" s="96" t="s">
        <v>346</v>
      </c>
      <c r="B226" s="117" t="s">
        <v>39</v>
      </c>
      <c r="C226" s="117" t="s">
        <v>228</v>
      </c>
      <c r="D226" s="117" t="s">
        <v>20</v>
      </c>
      <c r="E226" s="118">
        <v>0</v>
      </c>
      <c r="F226" s="119"/>
      <c r="G226" s="50">
        <f>SUM(G227)</f>
        <v>10277.70144</v>
      </c>
      <c r="H226" s="50">
        <f>SUM(H227)</f>
        <v>10277.70144</v>
      </c>
      <c r="I226" s="163">
        <f t="shared" si="7"/>
        <v>100</v>
      </c>
    </row>
    <row r="227" spans="1:9" ht="20.25" customHeight="1" outlineLevel="1">
      <c r="A227" s="96" t="s">
        <v>340</v>
      </c>
      <c r="B227" s="117" t="s">
        <v>39</v>
      </c>
      <c r="C227" s="117" t="s">
        <v>228</v>
      </c>
      <c r="D227" s="117" t="s">
        <v>20</v>
      </c>
      <c r="E227" s="118">
        <v>3</v>
      </c>
      <c r="F227" s="119"/>
      <c r="G227" s="50">
        <f>SUM(G228:G229)</f>
        <v>10277.70144</v>
      </c>
      <c r="H227" s="50">
        <f>SUM(H228:H229)</f>
        <v>10277.70144</v>
      </c>
      <c r="I227" s="163">
        <f t="shared" si="7"/>
        <v>100</v>
      </c>
    </row>
    <row r="228" spans="1:9" ht="28.5" customHeight="1" outlineLevel="1">
      <c r="A228" s="97" t="s">
        <v>351</v>
      </c>
      <c r="B228" s="133" t="s">
        <v>39</v>
      </c>
      <c r="C228" s="133" t="s">
        <v>228</v>
      </c>
      <c r="D228" s="121" t="s">
        <v>20</v>
      </c>
      <c r="E228" s="122">
        <v>3</v>
      </c>
      <c r="F228" s="134">
        <v>600</v>
      </c>
      <c r="G228" s="57">
        <f>6000-480.00622</f>
        <v>5519.99378</v>
      </c>
      <c r="H228" s="57">
        <f>6000-480.00622</f>
        <v>5519.99378</v>
      </c>
      <c r="I228" s="163">
        <f t="shared" si="7"/>
        <v>100</v>
      </c>
    </row>
    <row r="229" spans="1:9" ht="24" customHeight="1" outlineLevel="1">
      <c r="A229" s="97" t="s">
        <v>350</v>
      </c>
      <c r="B229" s="133" t="s">
        <v>39</v>
      </c>
      <c r="C229" s="133" t="s">
        <v>228</v>
      </c>
      <c r="D229" s="121" t="s">
        <v>20</v>
      </c>
      <c r="E229" s="122">
        <v>3</v>
      </c>
      <c r="F229" s="134">
        <v>600</v>
      </c>
      <c r="G229" s="57">
        <f>4300+500+278.5-320.79234</f>
        <v>4757.70766</v>
      </c>
      <c r="H229" s="57">
        <f>4300+500+278.5-320.79234</f>
        <v>4757.70766</v>
      </c>
      <c r="I229" s="163">
        <f t="shared" si="7"/>
        <v>100</v>
      </c>
    </row>
    <row r="230" spans="1:9" ht="15" customHeight="1" outlineLevel="1">
      <c r="A230" s="110" t="s">
        <v>344</v>
      </c>
      <c r="B230" s="149" t="s">
        <v>39</v>
      </c>
      <c r="C230" s="149" t="s">
        <v>71</v>
      </c>
      <c r="D230" s="149" t="s">
        <v>0</v>
      </c>
      <c r="E230" s="150" t="s">
        <v>0</v>
      </c>
      <c r="F230" s="151"/>
      <c r="G230" s="63">
        <f>SUM(G231+G240+G242)</f>
        <v>6832.51025</v>
      </c>
      <c r="H230" s="63">
        <f>SUM(H231+H240+H242)</f>
        <v>6832.51025</v>
      </c>
      <c r="I230" s="163">
        <f t="shared" si="7"/>
        <v>100</v>
      </c>
    </row>
    <row r="231" spans="1:9" ht="60" outlineLevel="1">
      <c r="A231" s="100" t="s">
        <v>269</v>
      </c>
      <c r="B231" s="117" t="s">
        <v>39</v>
      </c>
      <c r="C231" s="117" t="s">
        <v>71</v>
      </c>
      <c r="D231" s="117" t="s">
        <v>24</v>
      </c>
      <c r="E231" s="118">
        <v>0</v>
      </c>
      <c r="F231" s="119"/>
      <c r="G231" s="50">
        <f>SUM(G232+G234+G236)</f>
        <v>60</v>
      </c>
      <c r="H231" s="50">
        <f>SUM(H232+H234+H236)</f>
        <v>60</v>
      </c>
      <c r="I231" s="163">
        <f t="shared" si="7"/>
        <v>100</v>
      </c>
    </row>
    <row r="232" spans="1:9" ht="24" customHeight="1" outlineLevel="3">
      <c r="A232" s="96" t="s">
        <v>178</v>
      </c>
      <c r="B232" s="117" t="s">
        <v>39</v>
      </c>
      <c r="C232" s="117" t="s">
        <v>71</v>
      </c>
      <c r="D232" s="117" t="s">
        <v>24</v>
      </c>
      <c r="E232" s="118">
        <v>1</v>
      </c>
      <c r="F232" s="119"/>
      <c r="G232" s="50">
        <f>SUM(G233)</f>
        <v>20</v>
      </c>
      <c r="H232" s="50">
        <f>SUM(H233)</f>
        <v>20</v>
      </c>
      <c r="I232" s="163">
        <f t="shared" si="7"/>
        <v>100</v>
      </c>
    </row>
    <row r="233" spans="1:9" ht="21.75" customHeight="1" outlineLevel="3">
      <c r="A233" s="97" t="s">
        <v>100</v>
      </c>
      <c r="B233" s="121" t="s">
        <v>39</v>
      </c>
      <c r="C233" s="121" t="s">
        <v>71</v>
      </c>
      <c r="D233" s="121" t="s">
        <v>24</v>
      </c>
      <c r="E233" s="122">
        <v>1</v>
      </c>
      <c r="F233" s="136">
        <v>200</v>
      </c>
      <c r="G233" s="58">
        <f>50-20-10</f>
        <v>20</v>
      </c>
      <c r="H233" s="58">
        <f>50-20-10</f>
        <v>20</v>
      </c>
      <c r="I233" s="163">
        <f t="shared" si="7"/>
        <v>100</v>
      </c>
    </row>
    <row r="234" spans="1:9" s="15" customFormat="1" ht="29.25" customHeight="1" outlineLevel="2">
      <c r="A234" s="96" t="s">
        <v>179</v>
      </c>
      <c r="B234" s="117" t="s">
        <v>39</v>
      </c>
      <c r="C234" s="117" t="s">
        <v>71</v>
      </c>
      <c r="D234" s="117" t="s">
        <v>24</v>
      </c>
      <c r="E234" s="118">
        <v>2</v>
      </c>
      <c r="F234" s="119"/>
      <c r="G234" s="50">
        <f>SUM(G235:G235)</f>
        <v>30</v>
      </c>
      <c r="H234" s="50">
        <f>SUM(H235:H235)</f>
        <v>30</v>
      </c>
      <c r="I234" s="163">
        <f t="shared" si="7"/>
        <v>100</v>
      </c>
    </row>
    <row r="235" spans="1:9" s="15" customFormat="1" ht="27.75" customHeight="1" outlineLevel="2">
      <c r="A235" s="97" t="s">
        <v>100</v>
      </c>
      <c r="B235" s="121" t="s">
        <v>39</v>
      </c>
      <c r="C235" s="121" t="s">
        <v>71</v>
      </c>
      <c r="D235" s="121" t="s">
        <v>24</v>
      </c>
      <c r="E235" s="122">
        <v>2</v>
      </c>
      <c r="F235" s="136">
        <v>200</v>
      </c>
      <c r="G235" s="58">
        <f>100-60-10</f>
        <v>30</v>
      </c>
      <c r="H235" s="58">
        <f>100-60-10</f>
        <v>30</v>
      </c>
      <c r="I235" s="163">
        <f t="shared" si="7"/>
        <v>100</v>
      </c>
    </row>
    <row r="236" spans="1:9" s="15" customFormat="1" ht="24.75" customHeight="1" outlineLevel="2">
      <c r="A236" s="96" t="s">
        <v>254</v>
      </c>
      <c r="B236" s="117" t="s">
        <v>39</v>
      </c>
      <c r="C236" s="117" t="s">
        <v>71</v>
      </c>
      <c r="D236" s="117" t="s">
        <v>24</v>
      </c>
      <c r="E236" s="118">
        <v>3</v>
      </c>
      <c r="F236" s="119"/>
      <c r="G236" s="50">
        <f>SUM(G237:G239)</f>
        <v>10</v>
      </c>
      <c r="H236" s="50">
        <f>SUM(H237:H239)</f>
        <v>10</v>
      </c>
      <c r="I236" s="163">
        <f t="shared" si="7"/>
        <v>100</v>
      </c>
    </row>
    <row r="237" spans="1:9" s="15" customFormat="1" ht="25.5" customHeight="1" outlineLevel="2">
      <c r="A237" s="97" t="s">
        <v>100</v>
      </c>
      <c r="B237" s="121" t="s">
        <v>39</v>
      </c>
      <c r="C237" s="121" t="s">
        <v>71</v>
      </c>
      <c r="D237" s="121" t="s">
        <v>24</v>
      </c>
      <c r="E237" s="122">
        <v>3</v>
      </c>
      <c r="F237" s="136">
        <v>200</v>
      </c>
      <c r="G237" s="58">
        <f>50-20-20</f>
        <v>10</v>
      </c>
      <c r="H237" s="58">
        <f>50-20-20</f>
        <v>10</v>
      </c>
      <c r="I237" s="163">
        <f t="shared" si="7"/>
        <v>100</v>
      </c>
    </row>
    <row r="238" spans="1:9" s="15" customFormat="1" ht="24" hidden="1" outlineLevel="2">
      <c r="A238" s="97" t="s">
        <v>100</v>
      </c>
      <c r="B238" s="121" t="s">
        <v>39</v>
      </c>
      <c r="C238" s="121" t="s">
        <v>71</v>
      </c>
      <c r="D238" s="121" t="s">
        <v>24</v>
      </c>
      <c r="E238" s="122">
        <v>3</v>
      </c>
      <c r="F238" s="136">
        <v>200</v>
      </c>
      <c r="G238" s="58">
        <v>0</v>
      </c>
      <c r="H238" s="58">
        <v>0</v>
      </c>
      <c r="I238" s="163" t="e">
        <f t="shared" si="7"/>
        <v>#DIV/0!</v>
      </c>
    </row>
    <row r="239" spans="1:9" s="15" customFormat="1" ht="22.5" customHeight="1" hidden="1" outlineLevel="2">
      <c r="A239" s="97" t="s">
        <v>100</v>
      </c>
      <c r="B239" s="121" t="s">
        <v>39</v>
      </c>
      <c r="C239" s="121" t="s">
        <v>71</v>
      </c>
      <c r="D239" s="121" t="s">
        <v>24</v>
      </c>
      <c r="E239" s="122">
        <v>3</v>
      </c>
      <c r="F239" s="136">
        <v>200</v>
      </c>
      <c r="G239" s="58">
        <v>0</v>
      </c>
      <c r="H239" s="58">
        <v>0</v>
      </c>
      <c r="I239" s="163" t="e">
        <f t="shared" si="7"/>
        <v>#DIV/0!</v>
      </c>
    </row>
    <row r="240" spans="1:9" ht="35.25" customHeight="1" outlineLevel="3">
      <c r="A240" s="100" t="s">
        <v>381</v>
      </c>
      <c r="B240" s="117" t="s">
        <v>39</v>
      </c>
      <c r="C240" s="117" t="s">
        <v>71</v>
      </c>
      <c r="D240" s="117" t="s">
        <v>21</v>
      </c>
      <c r="E240" s="118">
        <v>0</v>
      </c>
      <c r="F240" s="119"/>
      <c r="G240" s="50">
        <f>SUM(G241)</f>
        <v>4247.73225</v>
      </c>
      <c r="H240" s="50">
        <f>SUM(H241)</f>
        <v>4247.73225</v>
      </c>
      <c r="I240" s="163">
        <f t="shared" si="7"/>
        <v>100</v>
      </c>
    </row>
    <row r="241" spans="1:9" ht="22.5" customHeight="1" outlineLevel="2">
      <c r="A241" s="105" t="s">
        <v>172</v>
      </c>
      <c r="B241" s="121" t="s">
        <v>39</v>
      </c>
      <c r="C241" s="121" t="s">
        <v>71</v>
      </c>
      <c r="D241" s="121" t="s">
        <v>21</v>
      </c>
      <c r="E241" s="122">
        <v>0</v>
      </c>
      <c r="F241" s="136">
        <v>600</v>
      </c>
      <c r="G241" s="58">
        <f>5100-500-352.26775</f>
        <v>4247.73225</v>
      </c>
      <c r="H241" s="58">
        <f>5100-500-352.26775</f>
        <v>4247.73225</v>
      </c>
      <c r="I241" s="163">
        <f t="shared" si="7"/>
        <v>100</v>
      </c>
    </row>
    <row r="242" spans="1:9" ht="15.75" outlineLevel="3">
      <c r="A242" s="100" t="s">
        <v>180</v>
      </c>
      <c r="B242" s="117" t="s">
        <v>39</v>
      </c>
      <c r="C242" s="117" t="s">
        <v>71</v>
      </c>
      <c r="D242" s="117" t="s">
        <v>16</v>
      </c>
      <c r="E242" s="118">
        <v>0</v>
      </c>
      <c r="F242" s="119"/>
      <c r="G242" s="50">
        <f>SUM(G243)</f>
        <v>2524.7780000000002</v>
      </c>
      <c r="H242" s="50">
        <f>SUM(H243)</f>
        <v>2524.7780000000002</v>
      </c>
      <c r="I242" s="163">
        <f t="shared" si="7"/>
        <v>100</v>
      </c>
    </row>
    <row r="243" spans="1:9" ht="24" outlineLevel="3">
      <c r="A243" s="96" t="s">
        <v>171</v>
      </c>
      <c r="B243" s="117" t="s">
        <v>39</v>
      </c>
      <c r="C243" s="117" t="s">
        <v>71</v>
      </c>
      <c r="D243" s="117" t="s">
        <v>16</v>
      </c>
      <c r="E243" s="118">
        <v>0</v>
      </c>
      <c r="F243" s="119"/>
      <c r="G243" s="50">
        <f>SUM(G244:G245)</f>
        <v>2524.7780000000002</v>
      </c>
      <c r="H243" s="50">
        <f>SUM(H244:H245)</f>
        <v>2524.7780000000002</v>
      </c>
      <c r="I243" s="163">
        <f t="shared" si="7"/>
        <v>100</v>
      </c>
    </row>
    <row r="244" spans="1:9" ht="36" outlineLevel="1">
      <c r="A244" s="79" t="s">
        <v>181</v>
      </c>
      <c r="B244" s="120" t="s">
        <v>39</v>
      </c>
      <c r="C244" s="120" t="s">
        <v>71</v>
      </c>
      <c r="D244" s="121" t="s">
        <v>16</v>
      </c>
      <c r="E244" s="122">
        <v>0</v>
      </c>
      <c r="F244" s="134">
        <v>600</v>
      </c>
      <c r="G244" s="57">
        <f>1950.2+322.1</f>
        <v>2272.3</v>
      </c>
      <c r="H244" s="57">
        <f>1950.2+322.1</f>
        <v>2272.3</v>
      </c>
      <c r="I244" s="163">
        <f t="shared" si="7"/>
        <v>100</v>
      </c>
    </row>
    <row r="245" spans="1:9" ht="25.5" customHeight="1" outlineLevel="1">
      <c r="A245" s="105" t="s">
        <v>172</v>
      </c>
      <c r="B245" s="120" t="s">
        <v>39</v>
      </c>
      <c r="C245" s="120" t="s">
        <v>71</v>
      </c>
      <c r="D245" s="121" t="s">
        <v>16</v>
      </c>
      <c r="E245" s="122">
        <v>0</v>
      </c>
      <c r="F245" s="134">
        <v>600</v>
      </c>
      <c r="G245" s="57">
        <f>216.7+35.778</f>
        <v>252.47799999999998</v>
      </c>
      <c r="H245" s="57">
        <f>216.7+35.778</f>
        <v>252.47799999999998</v>
      </c>
      <c r="I245" s="163">
        <f t="shared" si="7"/>
        <v>100</v>
      </c>
    </row>
    <row r="246" spans="1:9" ht="15.75" outlineLevel="1">
      <c r="A246" s="109" t="s">
        <v>72</v>
      </c>
      <c r="B246" s="149" t="s">
        <v>39</v>
      </c>
      <c r="C246" s="149" t="s">
        <v>73</v>
      </c>
      <c r="D246" s="149"/>
      <c r="E246" s="150"/>
      <c r="F246" s="151"/>
      <c r="G246" s="63">
        <f>SUM(G251+G247)</f>
        <v>2702.05434</v>
      </c>
      <c r="H246" s="63">
        <f>SUM(H251+H247)</f>
        <v>2702.05434</v>
      </c>
      <c r="I246" s="163">
        <f t="shared" si="7"/>
        <v>100</v>
      </c>
    </row>
    <row r="247" spans="1:9" ht="30.75" customHeight="1" outlineLevel="1">
      <c r="A247" s="96" t="s">
        <v>346</v>
      </c>
      <c r="B247" s="117" t="s">
        <v>39</v>
      </c>
      <c r="C247" s="117" t="s">
        <v>73</v>
      </c>
      <c r="D247" s="117" t="s">
        <v>20</v>
      </c>
      <c r="E247" s="118">
        <v>0</v>
      </c>
      <c r="F247" s="140"/>
      <c r="G247" s="50">
        <f>SUM(G248)</f>
        <v>1177.3855800000001</v>
      </c>
      <c r="H247" s="50">
        <f>SUM(H248)</f>
        <v>1177.3855800000001</v>
      </c>
      <c r="I247" s="163">
        <f t="shared" si="7"/>
        <v>100</v>
      </c>
    </row>
    <row r="248" spans="1:9" ht="15.75" outlineLevel="1">
      <c r="A248" s="96" t="s">
        <v>339</v>
      </c>
      <c r="B248" s="117" t="s">
        <v>39</v>
      </c>
      <c r="C248" s="117" t="s">
        <v>73</v>
      </c>
      <c r="D248" s="117" t="s">
        <v>20</v>
      </c>
      <c r="E248" s="118">
        <v>2</v>
      </c>
      <c r="F248" s="140"/>
      <c r="G248" s="50">
        <f>SUM(G249:G250)</f>
        <v>1177.3855800000001</v>
      </c>
      <c r="H248" s="50">
        <f>SUM(H249:H250)</f>
        <v>1177.3855800000001</v>
      </c>
      <c r="I248" s="163">
        <f t="shared" si="7"/>
        <v>100</v>
      </c>
    </row>
    <row r="249" spans="1:9" ht="48" outlineLevel="1">
      <c r="A249" s="97" t="s">
        <v>99</v>
      </c>
      <c r="B249" s="133" t="s">
        <v>39</v>
      </c>
      <c r="C249" s="120" t="s">
        <v>73</v>
      </c>
      <c r="D249" s="121" t="s">
        <v>20</v>
      </c>
      <c r="E249" s="122">
        <v>2</v>
      </c>
      <c r="F249" s="152">
        <v>100</v>
      </c>
      <c r="G249" s="57">
        <v>76.06931</v>
      </c>
      <c r="H249" s="57">
        <v>76.06931</v>
      </c>
      <c r="I249" s="163">
        <f t="shared" si="7"/>
        <v>100</v>
      </c>
    </row>
    <row r="250" spans="1:9" ht="60" outlineLevel="1">
      <c r="A250" s="105" t="s">
        <v>436</v>
      </c>
      <c r="B250" s="133" t="s">
        <v>39</v>
      </c>
      <c r="C250" s="120" t="s">
        <v>73</v>
      </c>
      <c r="D250" s="121" t="s">
        <v>20</v>
      </c>
      <c r="E250" s="122">
        <v>2</v>
      </c>
      <c r="F250" s="152">
        <v>600</v>
      </c>
      <c r="G250" s="57">
        <v>1101.31627</v>
      </c>
      <c r="H250" s="57">
        <v>1101.31627</v>
      </c>
      <c r="I250" s="163">
        <f t="shared" si="7"/>
        <v>100</v>
      </c>
    </row>
    <row r="251" spans="1:9" ht="39" customHeight="1" outlineLevel="1">
      <c r="A251" s="100" t="s">
        <v>382</v>
      </c>
      <c r="B251" s="117" t="s">
        <v>39</v>
      </c>
      <c r="C251" s="117" t="s">
        <v>73</v>
      </c>
      <c r="D251" s="117" t="s">
        <v>22</v>
      </c>
      <c r="E251" s="118">
        <v>0</v>
      </c>
      <c r="F251" s="119"/>
      <c r="G251" s="50">
        <f>SUM(G252:G254)</f>
        <v>1524.66876</v>
      </c>
      <c r="H251" s="50">
        <f>SUM(H252:H254)</f>
        <v>1524.66876</v>
      </c>
      <c r="I251" s="163">
        <f t="shared" si="7"/>
        <v>100</v>
      </c>
    </row>
    <row r="252" spans="1:9" ht="23.25" customHeight="1" outlineLevel="1">
      <c r="A252" s="78" t="s">
        <v>99</v>
      </c>
      <c r="B252" s="120" t="s">
        <v>39</v>
      </c>
      <c r="C252" s="120" t="s">
        <v>73</v>
      </c>
      <c r="D252" s="121" t="s">
        <v>22</v>
      </c>
      <c r="E252" s="122">
        <v>0</v>
      </c>
      <c r="F252" s="123">
        <v>100</v>
      </c>
      <c r="G252" s="51">
        <f>570+470+200+0.2+286.8371-2.36834</f>
        <v>1524.66876</v>
      </c>
      <c r="H252" s="51">
        <f>570+470+200+0.2+286.8371-2.36834</f>
        <v>1524.66876</v>
      </c>
      <c r="I252" s="163">
        <f t="shared" si="7"/>
        <v>100</v>
      </c>
    </row>
    <row r="253" spans="1:9" ht="24" outlineLevel="1">
      <c r="A253" s="78" t="s">
        <v>100</v>
      </c>
      <c r="B253" s="120" t="s">
        <v>39</v>
      </c>
      <c r="C253" s="120" t="s">
        <v>73</v>
      </c>
      <c r="D253" s="121" t="s">
        <v>22</v>
      </c>
      <c r="E253" s="122">
        <v>0</v>
      </c>
      <c r="F253" s="123">
        <v>200</v>
      </c>
      <c r="G253" s="51">
        <f>54.8-54.8</f>
        <v>0</v>
      </c>
      <c r="H253" s="51">
        <f>54.8-54.8</f>
        <v>0</v>
      </c>
      <c r="I253" s="163" t="e">
        <f t="shared" si="7"/>
        <v>#DIV/0!</v>
      </c>
    </row>
    <row r="254" spans="1:9" ht="15.75" customHeight="1" hidden="1" outlineLevel="1">
      <c r="A254" s="105" t="s">
        <v>142</v>
      </c>
      <c r="B254" s="121" t="s">
        <v>39</v>
      </c>
      <c r="C254" s="121" t="s">
        <v>73</v>
      </c>
      <c r="D254" s="121" t="s">
        <v>22</v>
      </c>
      <c r="E254" s="122">
        <v>0</v>
      </c>
      <c r="F254" s="136">
        <v>800</v>
      </c>
      <c r="G254" s="58">
        <f>0.2-0.2</f>
        <v>0</v>
      </c>
      <c r="H254" s="58">
        <f>0.2-0.2</f>
        <v>0</v>
      </c>
      <c r="I254" s="163" t="e">
        <f t="shared" si="7"/>
        <v>#DIV/0!</v>
      </c>
    </row>
    <row r="255" spans="1:9" ht="15.75" outlineLevel="1">
      <c r="A255" s="98" t="s">
        <v>74</v>
      </c>
      <c r="B255" s="127" t="s">
        <v>39</v>
      </c>
      <c r="C255" s="127" t="s">
        <v>114</v>
      </c>
      <c r="D255" s="127"/>
      <c r="E255" s="128"/>
      <c r="F255" s="129"/>
      <c r="G255" s="53">
        <f>SUM(G256+G273+G275)</f>
        <v>13206.57914</v>
      </c>
      <c r="H255" s="53">
        <f>SUM(H256+H273+H275)</f>
        <v>13206.57914</v>
      </c>
      <c r="I255" s="163">
        <f t="shared" si="7"/>
        <v>100</v>
      </c>
    </row>
    <row r="256" spans="1:9" ht="15" customHeight="1" outlineLevel="1">
      <c r="A256" s="96" t="s">
        <v>115</v>
      </c>
      <c r="B256" s="117" t="s">
        <v>39</v>
      </c>
      <c r="C256" s="117" t="s">
        <v>80</v>
      </c>
      <c r="D256" s="117"/>
      <c r="E256" s="118"/>
      <c r="F256" s="119"/>
      <c r="G256" s="50">
        <f>SUM(G257+G260+G262+G267+G269+G271+G264)</f>
        <v>12438.53084</v>
      </c>
      <c r="H256" s="50">
        <f>SUM(H257+H260+H262+H267+H269+H271+H264)</f>
        <v>12438.53084</v>
      </c>
      <c r="I256" s="163">
        <f t="shared" si="7"/>
        <v>100</v>
      </c>
    </row>
    <row r="257" spans="1:10" ht="24" hidden="1" outlineLevel="1" collapsed="1">
      <c r="A257" s="96" t="s">
        <v>356</v>
      </c>
      <c r="B257" s="117" t="s">
        <v>39</v>
      </c>
      <c r="C257" s="117" t="s">
        <v>80</v>
      </c>
      <c r="D257" s="117" t="s">
        <v>353</v>
      </c>
      <c r="E257" s="118">
        <v>0</v>
      </c>
      <c r="F257" s="119"/>
      <c r="G257" s="50">
        <f>SUM(G258:G259)</f>
        <v>0</v>
      </c>
      <c r="H257" s="50">
        <f>SUM(H258:H259)</f>
        <v>0</v>
      </c>
      <c r="I257" s="163" t="e">
        <f t="shared" si="7"/>
        <v>#DIV/0!</v>
      </c>
      <c r="J257" s="32">
        <f>SUM(G257+G260+G262+G267+G269+G271)</f>
        <v>12431.63084</v>
      </c>
    </row>
    <row r="258" spans="1:9" ht="24" hidden="1" outlineLevel="2">
      <c r="A258" s="105" t="s">
        <v>172</v>
      </c>
      <c r="B258" s="133" t="s">
        <v>39</v>
      </c>
      <c r="C258" s="133" t="s">
        <v>80</v>
      </c>
      <c r="D258" s="133" t="s">
        <v>353</v>
      </c>
      <c r="E258" s="135">
        <v>0</v>
      </c>
      <c r="F258" s="134">
        <v>600</v>
      </c>
      <c r="G258" s="57">
        <v>0</v>
      </c>
      <c r="H258" s="57">
        <v>0</v>
      </c>
      <c r="I258" s="163" t="e">
        <f t="shared" si="7"/>
        <v>#DIV/0!</v>
      </c>
    </row>
    <row r="259" spans="1:9" ht="108" hidden="1" outlineLevel="5">
      <c r="A259" s="105" t="s">
        <v>347</v>
      </c>
      <c r="B259" s="133" t="s">
        <v>39</v>
      </c>
      <c r="C259" s="133" t="s">
        <v>80</v>
      </c>
      <c r="D259" s="133" t="s">
        <v>353</v>
      </c>
      <c r="E259" s="135">
        <v>0</v>
      </c>
      <c r="F259" s="134">
        <v>600</v>
      </c>
      <c r="G259" s="58">
        <v>0</v>
      </c>
      <c r="H259" s="58">
        <v>0</v>
      </c>
      <c r="I259" s="163" t="e">
        <f t="shared" si="7"/>
        <v>#DIV/0!</v>
      </c>
    </row>
    <row r="260" spans="1:9" ht="25.5" customHeight="1" outlineLevel="1">
      <c r="A260" s="96" t="s">
        <v>284</v>
      </c>
      <c r="B260" s="117" t="s">
        <v>39</v>
      </c>
      <c r="C260" s="117" t="s">
        <v>80</v>
      </c>
      <c r="D260" s="117" t="s">
        <v>5</v>
      </c>
      <c r="E260" s="118">
        <v>0</v>
      </c>
      <c r="F260" s="140"/>
      <c r="G260" s="50">
        <f>SUM(G261)</f>
        <v>6.6</v>
      </c>
      <c r="H260" s="50">
        <f>SUM(H261)</f>
        <v>6.6</v>
      </c>
      <c r="I260" s="163">
        <f t="shared" si="7"/>
        <v>100</v>
      </c>
    </row>
    <row r="261" spans="1:9" ht="24" outlineLevel="2">
      <c r="A261" s="105" t="s">
        <v>172</v>
      </c>
      <c r="B261" s="133" t="s">
        <v>39</v>
      </c>
      <c r="C261" s="133" t="s">
        <v>80</v>
      </c>
      <c r="D261" s="121" t="s">
        <v>5</v>
      </c>
      <c r="E261" s="122">
        <v>0</v>
      </c>
      <c r="F261" s="152">
        <v>600</v>
      </c>
      <c r="G261" s="57">
        <f>50-30-13.4</f>
        <v>6.6</v>
      </c>
      <c r="H261" s="57">
        <f>50-30-13.4</f>
        <v>6.6</v>
      </c>
      <c r="I261" s="163">
        <f t="shared" si="7"/>
        <v>100</v>
      </c>
    </row>
    <row r="262" spans="1:9" ht="24.75" customHeight="1" outlineLevel="5">
      <c r="A262" s="100" t="s">
        <v>276</v>
      </c>
      <c r="B262" s="117" t="s">
        <v>39</v>
      </c>
      <c r="C262" s="117" t="s">
        <v>80</v>
      </c>
      <c r="D262" s="117" t="s">
        <v>4</v>
      </c>
      <c r="E262" s="118">
        <v>0</v>
      </c>
      <c r="F262" s="140"/>
      <c r="G262" s="50">
        <f>SUM(G263)</f>
        <v>0</v>
      </c>
      <c r="H262" s="50">
        <f>SUM(H263)</f>
        <v>0</v>
      </c>
      <c r="I262" s="163">
        <v>0</v>
      </c>
    </row>
    <row r="263" spans="1:9" ht="24" outlineLevel="3">
      <c r="A263" s="105" t="s">
        <v>172</v>
      </c>
      <c r="B263" s="133" t="s">
        <v>39</v>
      </c>
      <c r="C263" s="133" t="s">
        <v>80</v>
      </c>
      <c r="D263" s="121" t="s">
        <v>4</v>
      </c>
      <c r="E263" s="122">
        <v>0</v>
      </c>
      <c r="F263" s="152">
        <v>600</v>
      </c>
      <c r="G263" s="57">
        <f>50-10-40</f>
        <v>0</v>
      </c>
      <c r="H263" s="57">
        <f>50-10-40</f>
        <v>0</v>
      </c>
      <c r="I263" s="163">
        <v>0</v>
      </c>
    </row>
    <row r="264" spans="1:9" ht="24" outlineLevel="3">
      <c r="A264" s="96" t="s">
        <v>171</v>
      </c>
      <c r="B264" s="117" t="s">
        <v>39</v>
      </c>
      <c r="C264" s="117" t="s">
        <v>80</v>
      </c>
      <c r="D264" s="117" t="s">
        <v>16</v>
      </c>
      <c r="E264" s="118">
        <v>0</v>
      </c>
      <c r="F264" s="119"/>
      <c r="G264" s="50">
        <f>SUM(G265)</f>
        <v>6.9</v>
      </c>
      <c r="H264" s="50">
        <f>SUM(H265)</f>
        <v>6.9</v>
      </c>
      <c r="I264" s="163">
        <f t="shared" si="7"/>
        <v>100</v>
      </c>
    </row>
    <row r="265" spans="1:9" ht="24" outlineLevel="3">
      <c r="A265" s="97" t="s">
        <v>100</v>
      </c>
      <c r="B265" s="120" t="s">
        <v>39</v>
      </c>
      <c r="C265" s="133" t="s">
        <v>80</v>
      </c>
      <c r="D265" s="121" t="s">
        <v>16</v>
      </c>
      <c r="E265" s="122">
        <v>0</v>
      </c>
      <c r="F265" s="134">
        <v>200</v>
      </c>
      <c r="G265" s="57">
        <f>6.9</f>
        <v>6.9</v>
      </c>
      <c r="H265" s="57">
        <f>6.9</f>
        <v>6.9</v>
      </c>
      <c r="I265" s="163">
        <f t="shared" si="7"/>
        <v>100</v>
      </c>
    </row>
    <row r="266" spans="1:9" ht="27.75" customHeight="1" outlineLevel="3">
      <c r="A266" s="100" t="s">
        <v>383</v>
      </c>
      <c r="B266" s="117" t="s">
        <v>39</v>
      </c>
      <c r="C266" s="117" t="s">
        <v>114</v>
      </c>
      <c r="D266" s="117" t="s">
        <v>23</v>
      </c>
      <c r="E266" s="118">
        <v>0</v>
      </c>
      <c r="F266" s="119"/>
      <c r="G266" s="50">
        <f>SUM(G267+G269+G271+G273+G276)</f>
        <v>13193.07914</v>
      </c>
      <c r="H266" s="50">
        <f>SUM(H267+H269+H271+H273+H276)</f>
        <v>13193.07914</v>
      </c>
      <c r="I266" s="163">
        <f aca="true" t="shared" si="8" ref="I266:I329">SUM(H266/G266)*100</f>
        <v>100</v>
      </c>
    </row>
    <row r="267" spans="1:9" ht="15.75" outlineLevel="3">
      <c r="A267" s="110" t="s">
        <v>75</v>
      </c>
      <c r="B267" s="149" t="s">
        <v>39</v>
      </c>
      <c r="C267" s="149" t="s">
        <v>80</v>
      </c>
      <c r="D267" s="149" t="s">
        <v>23</v>
      </c>
      <c r="E267" s="150">
        <v>0</v>
      </c>
      <c r="F267" s="151"/>
      <c r="G267" s="63">
        <f>SUM(G268:G268)</f>
        <v>9619.6132</v>
      </c>
      <c r="H267" s="63">
        <f>SUM(H268:H268)</f>
        <v>9619.6132</v>
      </c>
      <c r="I267" s="163">
        <f t="shared" si="8"/>
        <v>100</v>
      </c>
    </row>
    <row r="268" spans="1:11" ht="27" customHeight="1" outlineLevel="3">
      <c r="A268" s="105" t="s">
        <v>172</v>
      </c>
      <c r="B268" s="120" t="s">
        <v>39</v>
      </c>
      <c r="C268" s="120" t="s">
        <v>80</v>
      </c>
      <c r="D268" s="121" t="s">
        <v>23</v>
      </c>
      <c r="E268" s="122">
        <v>0</v>
      </c>
      <c r="F268" s="123">
        <v>600</v>
      </c>
      <c r="G268" s="58">
        <f>7214+1427+442-651+65+53.4+407.7+39.54893+700.4-79.62504+1.18931</f>
        <v>9619.6132</v>
      </c>
      <c r="H268" s="58">
        <f>7214+1427+442-651+65+53.4+407.7+39.54893+700.4-79.62504+1.18931</f>
        <v>9619.6132</v>
      </c>
      <c r="I268" s="163">
        <f t="shared" si="8"/>
        <v>100</v>
      </c>
      <c r="J268" s="252"/>
      <c r="K268" s="215"/>
    </row>
    <row r="269" spans="1:9" ht="16.5" customHeight="1" outlineLevel="5">
      <c r="A269" s="110" t="s">
        <v>76</v>
      </c>
      <c r="B269" s="149" t="s">
        <v>39</v>
      </c>
      <c r="C269" s="149" t="s">
        <v>80</v>
      </c>
      <c r="D269" s="149" t="s">
        <v>23</v>
      </c>
      <c r="E269" s="150">
        <v>0</v>
      </c>
      <c r="F269" s="153"/>
      <c r="G269" s="63">
        <f>SUM(G270)</f>
        <v>1596.5260999999998</v>
      </c>
      <c r="H269" s="63">
        <f>SUM(H270)</f>
        <v>1596.5260999999998</v>
      </c>
      <c r="I269" s="163">
        <f t="shared" si="8"/>
        <v>100</v>
      </c>
    </row>
    <row r="270" spans="1:9" ht="27" customHeight="1" outlineLevel="5">
      <c r="A270" s="105" t="s">
        <v>172</v>
      </c>
      <c r="B270" s="121" t="s">
        <v>39</v>
      </c>
      <c r="C270" s="121" t="s">
        <v>80</v>
      </c>
      <c r="D270" s="121" t="s">
        <v>23</v>
      </c>
      <c r="E270" s="122">
        <v>0</v>
      </c>
      <c r="F270" s="141">
        <v>600</v>
      </c>
      <c r="G270" s="58">
        <f>862+731-104.7+109.20992+14.8002-15.78402</f>
        <v>1596.5260999999998</v>
      </c>
      <c r="H270" s="58">
        <f>862+731-104.7+109.20992+14.8002-15.78402</f>
        <v>1596.5260999999998</v>
      </c>
      <c r="I270" s="163">
        <f t="shared" si="8"/>
        <v>100</v>
      </c>
    </row>
    <row r="271" spans="1:9" ht="15.75" outlineLevel="5">
      <c r="A271" s="110" t="s">
        <v>77</v>
      </c>
      <c r="B271" s="149" t="s">
        <v>39</v>
      </c>
      <c r="C271" s="149" t="s">
        <v>80</v>
      </c>
      <c r="D271" s="149" t="s">
        <v>23</v>
      </c>
      <c r="E271" s="150">
        <v>0</v>
      </c>
      <c r="F271" s="153"/>
      <c r="G271" s="63">
        <f>SUM(G272:G272)</f>
        <v>1208.8915399999998</v>
      </c>
      <c r="H271" s="63">
        <f>SUM(H272:H272)</f>
        <v>1208.8915399999998</v>
      </c>
      <c r="I271" s="163">
        <f t="shared" si="8"/>
        <v>100</v>
      </c>
    </row>
    <row r="272" spans="1:9" ht="24" outlineLevel="5">
      <c r="A272" s="105" t="s">
        <v>172</v>
      </c>
      <c r="B272" s="121" t="s">
        <v>39</v>
      </c>
      <c r="C272" s="121" t="s">
        <v>80</v>
      </c>
      <c r="D272" s="121" t="s">
        <v>23</v>
      </c>
      <c r="E272" s="122">
        <v>0</v>
      </c>
      <c r="F272" s="141">
        <v>600</v>
      </c>
      <c r="G272" s="58">
        <f>1069+288-200+72.00858-20.11704</f>
        <v>1208.8915399999998</v>
      </c>
      <c r="H272" s="58">
        <f>1069+288-200+72.00858-20.11704</f>
        <v>1208.8915399999998</v>
      </c>
      <c r="I272" s="163">
        <f t="shared" si="8"/>
        <v>100</v>
      </c>
    </row>
    <row r="273" spans="1:9" ht="15.75" outlineLevel="5">
      <c r="A273" s="110" t="s">
        <v>78</v>
      </c>
      <c r="B273" s="149" t="s">
        <v>39</v>
      </c>
      <c r="C273" s="149" t="s">
        <v>81</v>
      </c>
      <c r="D273" s="149" t="s">
        <v>23</v>
      </c>
      <c r="E273" s="150">
        <v>0</v>
      </c>
      <c r="F273" s="153"/>
      <c r="G273" s="63">
        <f>SUM(G274)</f>
        <v>768.0483</v>
      </c>
      <c r="H273" s="63">
        <f>SUM(H274)</f>
        <v>768.0483</v>
      </c>
      <c r="I273" s="163">
        <f t="shared" si="8"/>
        <v>100</v>
      </c>
    </row>
    <row r="274" spans="1:9" ht="24" outlineLevel="5">
      <c r="A274" s="105" t="s">
        <v>172</v>
      </c>
      <c r="B274" s="121" t="s">
        <v>39</v>
      </c>
      <c r="C274" s="121" t="s">
        <v>81</v>
      </c>
      <c r="D274" s="121" t="s">
        <v>23</v>
      </c>
      <c r="E274" s="122">
        <v>0</v>
      </c>
      <c r="F274" s="141">
        <v>600</v>
      </c>
      <c r="G274" s="58">
        <f>309-42+651-103-56.49297+9.54127</f>
        <v>768.0483</v>
      </c>
      <c r="H274" s="58">
        <f>309-42+651-103-56.49297+9.54127</f>
        <v>768.0483</v>
      </c>
      <c r="I274" s="163">
        <f t="shared" si="8"/>
        <v>100</v>
      </c>
    </row>
    <row r="275" spans="1:9" ht="15.75" hidden="1" outlineLevel="5">
      <c r="A275" s="250" t="s">
        <v>79</v>
      </c>
      <c r="B275" s="243" t="s">
        <v>39</v>
      </c>
      <c r="C275" s="243" t="s">
        <v>82</v>
      </c>
      <c r="D275" s="243" t="s">
        <v>23</v>
      </c>
      <c r="E275" s="244">
        <v>0</v>
      </c>
      <c r="F275" s="245"/>
      <c r="G275" s="246">
        <f>SUM(G276+G277)</f>
        <v>0</v>
      </c>
      <c r="H275" s="246">
        <f>SUM(H276+H277)</f>
        <v>0</v>
      </c>
      <c r="I275" s="163" t="e">
        <f t="shared" si="8"/>
        <v>#DIV/0!</v>
      </c>
    </row>
    <row r="276" spans="1:9" ht="24" hidden="1" outlineLevel="5">
      <c r="A276" s="251" t="s">
        <v>172</v>
      </c>
      <c r="B276" s="237" t="s">
        <v>39</v>
      </c>
      <c r="C276" s="237" t="s">
        <v>82</v>
      </c>
      <c r="D276" s="238" t="s">
        <v>23</v>
      </c>
      <c r="E276" s="239">
        <v>0</v>
      </c>
      <c r="F276" s="241">
        <v>600</v>
      </c>
      <c r="G276" s="235">
        <v>0</v>
      </c>
      <c r="H276" s="235">
        <v>0</v>
      </c>
      <c r="I276" s="163" t="e">
        <f t="shared" si="8"/>
        <v>#DIV/0!</v>
      </c>
    </row>
    <row r="277" spans="1:9" ht="36" hidden="1" outlineLevel="5">
      <c r="A277" s="225" t="s">
        <v>366</v>
      </c>
      <c r="B277" s="226" t="s">
        <v>39</v>
      </c>
      <c r="C277" s="226" t="s">
        <v>82</v>
      </c>
      <c r="D277" s="226" t="s">
        <v>361</v>
      </c>
      <c r="E277" s="227">
        <v>0</v>
      </c>
      <c r="F277" s="240"/>
      <c r="G277" s="229">
        <f>SUM(G278)</f>
        <v>0</v>
      </c>
      <c r="H277" s="229">
        <f>SUM(H278)</f>
        <v>0</v>
      </c>
      <c r="I277" s="163" t="e">
        <f t="shared" si="8"/>
        <v>#DIV/0!</v>
      </c>
    </row>
    <row r="278" spans="1:9" ht="36" hidden="1" outlineLevel="5">
      <c r="A278" s="230" t="s">
        <v>369</v>
      </c>
      <c r="B278" s="237" t="s">
        <v>39</v>
      </c>
      <c r="C278" s="237" t="s">
        <v>82</v>
      </c>
      <c r="D278" s="238" t="s">
        <v>361</v>
      </c>
      <c r="E278" s="239">
        <v>0</v>
      </c>
      <c r="F278" s="241">
        <v>500</v>
      </c>
      <c r="G278" s="235">
        <v>0</v>
      </c>
      <c r="H278" s="235">
        <v>0</v>
      </c>
      <c r="I278" s="163" t="e">
        <f t="shared" si="8"/>
        <v>#DIV/0!</v>
      </c>
    </row>
    <row r="279" spans="1:9" ht="15.75" hidden="1" outlineLevel="5">
      <c r="A279" s="242" t="s">
        <v>230</v>
      </c>
      <c r="B279" s="243" t="s">
        <v>39</v>
      </c>
      <c r="C279" s="243" t="s">
        <v>231</v>
      </c>
      <c r="D279" s="243"/>
      <c r="E279" s="244"/>
      <c r="F279" s="245"/>
      <c r="G279" s="246">
        <f>SUM(G280)</f>
        <v>0</v>
      </c>
      <c r="H279" s="246">
        <f>SUM(H280)</f>
        <v>0</v>
      </c>
      <c r="I279" s="163" t="e">
        <f t="shared" si="8"/>
        <v>#DIV/0!</v>
      </c>
    </row>
    <row r="280" spans="1:9" ht="15.75" hidden="1" outlineLevel="5">
      <c r="A280" s="225" t="s">
        <v>232</v>
      </c>
      <c r="B280" s="226" t="s">
        <v>39</v>
      </c>
      <c r="C280" s="226" t="s">
        <v>233</v>
      </c>
      <c r="D280" s="226"/>
      <c r="E280" s="227"/>
      <c r="F280" s="240"/>
      <c r="G280" s="229">
        <f>SUM(G283)</f>
        <v>0</v>
      </c>
      <c r="H280" s="229">
        <f>SUM(H283)</f>
        <v>0</v>
      </c>
      <c r="I280" s="163" t="e">
        <f t="shared" si="8"/>
        <v>#DIV/0!</v>
      </c>
    </row>
    <row r="281" spans="1:9" ht="36" hidden="1" outlineLevel="5">
      <c r="A281" s="225" t="s">
        <v>283</v>
      </c>
      <c r="B281" s="226" t="s">
        <v>39</v>
      </c>
      <c r="C281" s="226" t="s">
        <v>233</v>
      </c>
      <c r="D281" s="226" t="s">
        <v>6</v>
      </c>
      <c r="E281" s="227">
        <v>0</v>
      </c>
      <c r="F281" s="240"/>
      <c r="G281" s="229">
        <f>SUM(G282)</f>
        <v>0</v>
      </c>
      <c r="H281" s="229">
        <f>SUM(H282)</f>
        <v>0</v>
      </c>
      <c r="I281" s="163" t="e">
        <f t="shared" si="8"/>
        <v>#DIV/0!</v>
      </c>
    </row>
    <row r="282" spans="1:9" ht="24" hidden="1" outlineLevel="5">
      <c r="A282" s="225" t="s">
        <v>218</v>
      </c>
      <c r="B282" s="226" t="s">
        <v>39</v>
      </c>
      <c r="C282" s="226" t="s">
        <v>233</v>
      </c>
      <c r="D282" s="226" t="s">
        <v>6</v>
      </c>
      <c r="E282" s="227">
        <v>3</v>
      </c>
      <c r="F282" s="228"/>
      <c r="G282" s="229">
        <f>SUM(G283:G283)</f>
        <v>0</v>
      </c>
      <c r="H282" s="229">
        <f>SUM(H283:H283)</f>
        <v>0</v>
      </c>
      <c r="I282" s="163" t="e">
        <f t="shared" si="8"/>
        <v>#DIV/0!</v>
      </c>
    </row>
    <row r="283" spans="1:9" ht="24" hidden="1" outlineLevel="5">
      <c r="A283" s="230" t="s">
        <v>175</v>
      </c>
      <c r="B283" s="231" t="s">
        <v>39</v>
      </c>
      <c r="C283" s="231" t="s">
        <v>233</v>
      </c>
      <c r="D283" s="231" t="s">
        <v>6</v>
      </c>
      <c r="E283" s="232">
        <v>3</v>
      </c>
      <c r="F283" s="233">
        <v>400</v>
      </c>
      <c r="G283" s="234">
        <v>0</v>
      </c>
      <c r="H283" s="234">
        <v>0</v>
      </c>
      <c r="I283" s="163" t="e">
        <f t="shared" si="8"/>
        <v>#DIV/0!</v>
      </c>
    </row>
    <row r="284" spans="1:10" ht="21" customHeight="1" outlineLevel="5">
      <c r="A284" s="111" t="s">
        <v>83</v>
      </c>
      <c r="B284" s="154" t="s">
        <v>39</v>
      </c>
      <c r="C284" s="154" t="s">
        <v>182</v>
      </c>
      <c r="D284" s="154"/>
      <c r="E284" s="155"/>
      <c r="F284" s="156"/>
      <c r="G284" s="64">
        <f>SUM(G285+G288+G301+G313)</f>
        <v>27035.34807</v>
      </c>
      <c r="H284" s="64">
        <f>SUM(H285+H288+H301+H313)</f>
        <v>25464.838600000003</v>
      </c>
      <c r="I284" s="163">
        <f t="shared" si="8"/>
        <v>94.1909034574527</v>
      </c>
      <c r="J284" s="2">
        <v>15513</v>
      </c>
    </row>
    <row r="285" spans="1:9" ht="26.25" customHeight="1" outlineLevel="5">
      <c r="A285" s="109" t="s">
        <v>85</v>
      </c>
      <c r="B285" s="149" t="s">
        <v>39</v>
      </c>
      <c r="C285" s="149" t="s">
        <v>86</v>
      </c>
      <c r="D285" s="149"/>
      <c r="E285" s="150"/>
      <c r="F285" s="151"/>
      <c r="G285" s="50">
        <f>SUM(G286)</f>
        <v>4310.14951</v>
      </c>
      <c r="H285" s="50">
        <f>SUM(H286)</f>
        <v>4310.14951</v>
      </c>
      <c r="I285" s="163">
        <f t="shared" si="8"/>
        <v>100</v>
      </c>
    </row>
    <row r="286" spans="1:9" ht="24" customHeight="1" outlineLevel="5">
      <c r="A286" s="96" t="s">
        <v>171</v>
      </c>
      <c r="B286" s="117" t="s">
        <v>39</v>
      </c>
      <c r="C286" s="117" t="s">
        <v>86</v>
      </c>
      <c r="D286" s="117" t="s">
        <v>16</v>
      </c>
      <c r="E286" s="118">
        <v>0</v>
      </c>
      <c r="F286" s="119"/>
      <c r="G286" s="50">
        <f>SUM(G287)</f>
        <v>4310.14951</v>
      </c>
      <c r="H286" s="50">
        <f>SUM(H287)</f>
        <v>4310.14951</v>
      </c>
      <c r="I286" s="163">
        <f t="shared" si="8"/>
        <v>100</v>
      </c>
    </row>
    <row r="287" spans="1:9" ht="15.75" outlineLevel="5">
      <c r="A287" s="78" t="s">
        <v>173</v>
      </c>
      <c r="B287" s="133" t="s">
        <v>39</v>
      </c>
      <c r="C287" s="133" t="s">
        <v>86</v>
      </c>
      <c r="D287" s="121" t="s">
        <v>16</v>
      </c>
      <c r="E287" s="122">
        <v>0</v>
      </c>
      <c r="F287" s="134">
        <v>300</v>
      </c>
      <c r="G287" s="57">
        <f>4000+230-230+310.14951</f>
        <v>4310.14951</v>
      </c>
      <c r="H287" s="57">
        <f>4000+230-230+310.14951</f>
        <v>4310.14951</v>
      </c>
      <c r="I287" s="163">
        <f t="shared" si="8"/>
        <v>100</v>
      </c>
    </row>
    <row r="288" spans="1:9" ht="18.75" customHeight="1" outlineLevel="5">
      <c r="A288" s="109" t="s">
        <v>87</v>
      </c>
      <c r="B288" s="149" t="s">
        <v>39</v>
      </c>
      <c r="C288" s="149" t="s">
        <v>89</v>
      </c>
      <c r="D288" s="149"/>
      <c r="E288" s="150"/>
      <c r="F288" s="151"/>
      <c r="G288" s="63">
        <f>SUM(G289+G291)</f>
        <v>14638.132000000001</v>
      </c>
      <c r="H288" s="63">
        <f>SUM(H289+H291)</f>
        <v>13243.794090000001</v>
      </c>
      <c r="I288" s="163">
        <f t="shared" si="8"/>
        <v>90.47461855105556</v>
      </c>
    </row>
    <row r="289" spans="1:9" ht="58.5" customHeight="1" outlineLevel="5">
      <c r="A289" s="96" t="s">
        <v>285</v>
      </c>
      <c r="B289" s="117" t="s">
        <v>39</v>
      </c>
      <c r="C289" s="117" t="s">
        <v>89</v>
      </c>
      <c r="D289" s="117" t="s">
        <v>7</v>
      </c>
      <c r="E289" s="118">
        <v>0</v>
      </c>
      <c r="F289" s="119"/>
      <c r="G289" s="50">
        <f>SUM(G290)</f>
        <v>828.227</v>
      </c>
      <c r="H289" s="50">
        <f>SUM(H290)</f>
        <v>828.227</v>
      </c>
      <c r="I289" s="163">
        <f t="shared" si="8"/>
        <v>100</v>
      </c>
    </row>
    <row r="290" spans="1:9" ht="16.5" customHeight="1" outlineLevel="5">
      <c r="A290" s="78" t="s">
        <v>173</v>
      </c>
      <c r="B290" s="133" t="s">
        <v>39</v>
      </c>
      <c r="C290" s="133" t="s">
        <v>89</v>
      </c>
      <c r="D290" s="121" t="s">
        <v>7</v>
      </c>
      <c r="E290" s="122">
        <v>0</v>
      </c>
      <c r="F290" s="134">
        <v>300</v>
      </c>
      <c r="G290" s="57">
        <f>100+700+28.62-0.393</f>
        <v>828.227</v>
      </c>
      <c r="H290" s="57">
        <f>100+700+28.62-0.393</f>
        <v>828.227</v>
      </c>
      <c r="I290" s="163">
        <f t="shared" si="8"/>
        <v>100</v>
      </c>
    </row>
    <row r="291" spans="1:9" ht="24.75" customHeight="1">
      <c r="A291" s="96" t="s">
        <v>171</v>
      </c>
      <c r="B291" s="117" t="s">
        <v>39</v>
      </c>
      <c r="C291" s="117" t="s">
        <v>89</v>
      </c>
      <c r="D291" s="117" t="s">
        <v>16</v>
      </c>
      <c r="E291" s="118">
        <v>0</v>
      </c>
      <c r="F291" s="119"/>
      <c r="G291" s="50">
        <f>SUM(G295+G298+G299+G300+G292)</f>
        <v>13809.905</v>
      </c>
      <c r="H291" s="50">
        <f>SUM(H295+H298+H299+H300+H292)</f>
        <v>12415.56709</v>
      </c>
      <c r="I291" s="163">
        <f t="shared" si="8"/>
        <v>89.90334900927994</v>
      </c>
    </row>
    <row r="292" spans="1:9" ht="24.75" customHeight="1">
      <c r="A292" s="96" t="s">
        <v>425</v>
      </c>
      <c r="B292" s="117" t="s">
        <v>39</v>
      </c>
      <c r="C292" s="117" t="s">
        <v>89</v>
      </c>
      <c r="D292" s="117" t="s">
        <v>16</v>
      </c>
      <c r="E292" s="118">
        <v>0</v>
      </c>
      <c r="F292" s="119"/>
      <c r="G292" s="50">
        <f>SUM(G293:G294)</f>
        <v>1018</v>
      </c>
      <c r="H292" s="50">
        <f>SUM(H293:H294)</f>
        <v>1000</v>
      </c>
      <c r="I292" s="163">
        <f t="shared" si="8"/>
        <v>98.23182711198429</v>
      </c>
    </row>
    <row r="293" spans="1:9" ht="15.75" customHeight="1">
      <c r="A293" s="78" t="s">
        <v>173</v>
      </c>
      <c r="B293" s="133" t="s">
        <v>39</v>
      </c>
      <c r="C293" s="133" t="s">
        <v>89</v>
      </c>
      <c r="D293" s="133" t="s">
        <v>16</v>
      </c>
      <c r="E293" s="135">
        <v>0</v>
      </c>
      <c r="F293" s="134">
        <v>300</v>
      </c>
      <c r="G293" s="57">
        <v>1018</v>
      </c>
      <c r="H293" s="57">
        <v>1000</v>
      </c>
      <c r="I293" s="163">
        <f t="shared" si="8"/>
        <v>98.23182711198429</v>
      </c>
    </row>
    <row r="294" spans="1:9" ht="24.75" customHeight="1" hidden="1">
      <c r="A294" s="97" t="s">
        <v>100</v>
      </c>
      <c r="B294" s="133" t="s">
        <v>39</v>
      </c>
      <c r="C294" s="133" t="s">
        <v>89</v>
      </c>
      <c r="D294" s="133" t="s">
        <v>16</v>
      </c>
      <c r="E294" s="135">
        <v>0</v>
      </c>
      <c r="F294" s="134">
        <v>200</v>
      </c>
      <c r="G294" s="57"/>
      <c r="H294" s="57"/>
      <c r="I294" s="163" t="e">
        <f t="shared" si="8"/>
        <v>#DIV/0!</v>
      </c>
    </row>
    <row r="295" spans="1:10" ht="84">
      <c r="A295" s="96" t="s">
        <v>104</v>
      </c>
      <c r="B295" s="117" t="s">
        <v>39</v>
      </c>
      <c r="C295" s="117" t="s">
        <v>89</v>
      </c>
      <c r="D295" s="117" t="s">
        <v>16</v>
      </c>
      <c r="E295" s="118">
        <v>0</v>
      </c>
      <c r="F295" s="119"/>
      <c r="G295" s="50">
        <f>SUM(G296:G297)</f>
        <v>8625.005000000001</v>
      </c>
      <c r="H295" s="50">
        <f>SUM(H296:H297)</f>
        <v>7815.778</v>
      </c>
      <c r="I295" s="163">
        <f t="shared" si="8"/>
        <v>90.61766341005018</v>
      </c>
      <c r="J295" s="32">
        <f>SUM(H295+H315)</f>
        <v>8815.173</v>
      </c>
    </row>
    <row r="296" spans="1:9" ht="15.75">
      <c r="A296" s="78" t="s">
        <v>173</v>
      </c>
      <c r="B296" s="120" t="s">
        <v>39</v>
      </c>
      <c r="C296" s="120" t="s">
        <v>89</v>
      </c>
      <c r="D296" s="121" t="s">
        <v>16</v>
      </c>
      <c r="E296" s="122">
        <v>0</v>
      </c>
      <c r="F296" s="123">
        <v>300</v>
      </c>
      <c r="G296" s="51">
        <f>10022.08+101.687-1584.158</f>
        <v>8539.609</v>
      </c>
      <c r="H296" s="51">
        <v>7738.39448</v>
      </c>
      <c r="I296" s="163">
        <f t="shared" si="8"/>
        <v>90.61766738968961</v>
      </c>
    </row>
    <row r="297" spans="1:9" ht="28.5" customHeight="1">
      <c r="A297" s="97" t="s">
        <v>100</v>
      </c>
      <c r="B297" s="120" t="s">
        <v>39</v>
      </c>
      <c r="C297" s="120" t="s">
        <v>89</v>
      </c>
      <c r="D297" s="121" t="s">
        <v>16</v>
      </c>
      <c r="E297" s="122">
        <v>0</v>
      </c>
      <c r="F297" s="123">
        <v>200</v>
      </c>
      <c r="G297" s="57">
        <f>100.22+1.018-15.842</f>
        <v>85.396</v>
      </c>
      <c r="H297" s="57">
        <v>77.38352</v>
      </c>
      <c r="I297" s="163">
        <f t="shared" si="8"/>
        <v>90.61726544568832</v>
      </c>
    </row>
    <row r="298" spans="1:9" ht="67.5" customHeight="1">
      <c r="A298" s="96" t="s">
        <v>105</v>
      </c>
      <c r="B298" s="117" t="s">
        <v>39</v>
      </c>
      <c r="C298" s="117" t="s">
        <v>89</v>
      </c>
      <c r="D298" s="117" t="s">
        <v>16</v>
      </c>
      <c r="E298" s="118">
        <v>0</v>
      </c>
      <c r="F298" s="119">
        <v>300</v>
      </c>
      <c r="G298" s="50">
        <v>751.9</v>
      </c>
      <c r="H298" s="50">
        <v>583.08909</v>
      </c>
      <c r="I298" s="163">
        <f t="shared" si="8"/>
        <v>77.54875515361086</v>
      </c>
    </row>
    <row r="299" spans="1:9" ht="63.75" customHeight="1">
      <c r="A299" s="96" t="s">
        <v>106</v>
      </c>
      <c r="B299" s="117" t="s">
        <v>39</v>
      </c>
      <c r="C299" s="117" t="s">
        <v>89</v>
      </c>
      <c r="D299" s="117" t="s">
        <v>16</v>
      </c>
      <c r="E299" s="118">
        <v>0</v>
      </c>
      <c r="F299" s="119">
        <v>300</v>
      </c>
      <c r="G299" s="50">
        <f>55.2-24.2</f>
        <v>31.000000000000004</v>
      </c>
      <c r="H299" s="50">
        <v>31</v>
      </c>
      <c r="I299" s="163">
        <f t="shared" si="8"/>
        <v>99.99999999999999</v>
      </c>
    </row>
    <row r="300" spans="1:9" ht="60.75" customHeight="1">
      <c r="A300" s="96" t="s">
        <v>107</v>
      </c>
      <c r="B300" s="117" t="s">
        <v>39</v>
      </c>
      <c r="C300" s="117" t="s">
        <v>89</v>
      </c>
      <c r="D300" s="117" t="s">
        <v>16</v>
      </c>
      <c r="E300" s="118">
        <v>0</v>
      </c>
      <c r="F300" s="119">
        <v>300</v>
      </c>
      <c r="G300" s="50">
        <v>3384</v>
      </c>
      <c r="H300" s="50">
        <v>2985.7</v>
      </c>
      <c r="I300" s="163">
        <f t="shared" si="8"/>
        <v>88.22990543735224</v>
      </c>
    </row>
    <row r="301" spans="1:9" ht="18.75" customHeight="1">
      <c r="A301" s="112" t="s">
        <v>88</v>
      </c>
      <c r="B301" s="157" t="s">
        <v>39</v>
      </c>
      <c r="C301" s="157" t="s">
        <v>90</v>
      </c>
      <c r="D301" s="157"/>
      <c r="E301" s="158"/>
      <c r="F301" s="159"/>
      <c r="G301" s="65">
        <f>SUM(G304+G302)</f>
        <v>7087.671559999999</v>
      </c>
      <c r="H301" s="65">
        <f>SUM(H304+H302)</f>
        <v>6911.5</v>
      </c>
      <c r="I301" s="163">
        <f t="shared" si="8"/>
        <v>97.5143944170009</v>
      </c>
    </row>
    <row r="302" spans="1:9" ht="0.75" customHeight="1" hidden="1">
      <c r="A302" s="96" t="s">
        <v>280</v>
      </c>
      <c r="B302" s="117" t="s">
        <v>39</v>
      </c>
      <c r="C302" s="117" t="s">
        <v>90</v>
      </c>
      <c r="D302" s="117" t="s">
        <v>281</v>
      </c>
      <c r="E302" s="118">
        <v>0</v>
      </c>
      <c r="F302" s="119"/>
      <c r="G302" s="50">
        <f>SUM(G303)</f>
        <v>0</v>
      </c>
      <c r="H302" s="50">
        <f>SUM(H303)</f>
        <v>0</v>
      </c>
      <c r="I302" s="163" t="e">
        <f t="shared" si="8"/>
        <v>#DIV/0!</v>
      </c>
    </row>
    <row r="303" spans="1:9" ht="15.75" hidden="1">
      <c r="A303" s="78" t="s">
        <v>173</v>
      </c>
      <c r="B303" s="133" t="s">
        <v>39</v>
      </c>
      <c r="C303" s="133" t="s">
        <v>90</v>
      </c>
      <c r="D303" s="121" t="s">
        <v>281</v>
      </c>
      <c r="E303" s="122">
        <v>0</v>
      </c>
      <c r="F303" s="134">
        <v>300</v>
      </c>
      <c r="G303" s="57">
        <v>0</v>
      </c>
      <c r="H303" s="57">
        <v>0</v>
      </c>
      <c r="I303" s="163" t="e">
        <f t="shared" si="8"/>
        <v>#DIV/0!</v>
      </c>
    </row>
    <row r="304" spans="1:9" ht="27.75" customHeight="1">
      <c r="A304" s="96" t="s">
        <v>171</v>
      </c>
      <c r="B304" s="117" t="s">
        <v>39</v>
      </c>
      <c r="C304" s="117" t="s">
        <v>90</v>
      </c>
      <c r="D304" s="117" t="s">
        <v>16</v>
      </c>
      <c r="E304" s="118">
        <v>0</v>
      </c>
      <c r="F304" s="119"/>
      <c r="G304" s="50">
        <f>SUM(G305+G308+G311)</f>
        <v>7087.671559999999</v>
      </c>
      <c r="H304" s="50">
        <f>SUM(H305+H308+H311)</f>
        <v>6911.5</v>
      </c>
      <c r="I304" s="163">
        <f t="shared" si="8"/>
        <v>97.5143944170009</v>
      </c>
    </row>
    <row r="305" spans="1:9" ht="48.75" customHeight="1">
      <c r="A305" s="96" t="s">
        <v>108</v>
      </c>
      <c r="B305" s="117" t="s">
        <v>39</v>
      </c>
      <c r="C305" s="117" t="s">
        <v>90</v>
      </c>
      <c r="D305" s="117" t="s">
        <v>16</v>
      </c>
      <c r="E305" s="118">
        <v>0</v>
      </c>
      <c r="F305" s="119"/>
      <c r="G305" s="50">
        <f>SUM(G306:G307)</f>
        <v>319.99999999999994</v>
      </c>
      <c r="H305" s="50">
        <f>SUM(H306:H307)</f>
        <v>319.99999999999994</v>
      </c>
      <c r="I305" s="163">
        <f t="shared" si="8"/>
        <v>100</v>
      </c>
    </row>
    <row r="306" spans="1:9" ht="14.25" customHeight="1">
      <c r="A306" s="78" t="s">
        <v>173</v>
      </c>
      <c r="B306" s="133" t="s">
        <v>39</v>
      </c>
      <c r="C306" s="133" t="s">
        <v>90</v>
      </c>
      <c r="D306" s="133" t="s">
        <v>16</v>
      </c>
      <c r="E306" s="135">
        <v>0</v>
      </c>
      <c r="F306" s="134">
        <v>300</v>
      </c>
      <c r="G306" s="57">
        <f>687.03-370.1983</f>
        <v>316.83169999999996</v>
      </c>
      <c r="H306" s="57">
        <f>687.03-370.1983</f>
        <v>316.83169999999996</v>
      </c>
      <c r="I306" s="163">
        <f t="shared" si="8"/>
        <v>100</v>
      </c>
    </row>
    <row r="307" spans="1:9" ht="23.25" customHeight="1">
      <c r="A307" s="78" t="s">
        <v>100</v>
      </c>
      <c r="B307" s="133" t="s">
        <v>39</v>
      </c>
      <c r="C307" s="133" t="s">
        <v>90</v>
      </c>
      <c r="D307" s="133" t="s">
        <v>16</v>
      </c>
      <c r="E307" s="135">
        <v>0</v>
      </c>
      <c r="F307" s="134">
        <v>200</v>
      </c>
      <c r="G307" s="57">
        <f>6.87-3.7017</f>
        <v>3.1683</v>
      </c>
      <c r="H307" s="57">
        <f>6.87-3.7017</f>
        <v>3.1683</v>
      </c>
      <c r="I307" s="163">
        <f t="shared" si="8"/>
        <v>100</v>
      </c>
    </row>
    <row r="308" spans="1:9" ht="96">
      <c r="A308" s="96" t="s">
        <v>255</v>
      </c>
      <c r="B308" s="117" t="s">
        <v>39</v>
      </c>
      <c r="C308" s="117" t="s">
        <v>90</v>
      </c>
      <c r="D308" s="117" t="s">
        <v>16</v>
      </c>
      <c r="E308" s="219">
        <v>0</v>
      </c>
      <c r="F308" s="119"/>
      <c r="G308" s="50">
        <f>SUM(G309:G310)</f>
        <v>6741.299999999999</v>
      </c>
      <c r="H308" s="50">
        <f>SUM(H309:H310)</f>
        <v>6591.5</v>
      </c>
      <c r="I308" s="163">
        <f t="shared" si="8"/>
        <v>97.77787667067184</v>
      </c>
    </row>
    <row r="309" spans="1:9" ht="15.75">
      <c r="A309" s="78" t="s">
        <v>109</v>
      </c>
      <c r="B309" s="133" t="s">
        <v>39</v>
      </c>
      <c r="C309" s="133" t="s">
        <v>90</v>
      </c>
      <c r="D309" s="121" t="s">
        <v>16</v>
      </c>
      <c r="E309" s="122">
        <v>0</v>
      </c>
      <c r="F309" s="134">
        <v>300</v>
      </c>
      <c r="G309" s="57">
        <f>3732.9+1747.1-171.1</f>
        <v>5308.9</v>
      </c>
      <c r="H309" s="57">
        <v>5211.1</v>
      </c>
      <c r="I309" s="163">
        <f t="shared" si="8"/>
        <v>98.1578104692121</v>
      </c>
    </row>
    <row r="310" spans="1:10" ht="26.25" customHeight="1">
      <c r="A310" s="97" t="s">
        <v>110</v>
      </c>
      <c r="B310" s="120" t="s">
        <v>39</v>
      </c>
      <c r="C310" s="120" t="s">
        <v>90</v>
      </c>
      <c r="D310" s="121" t="s">
        <v>16</v>
      </c>
      <c r="E310" s="122">
        <v>0</v>
      </c>
      <c r="F310" s="123">
        <v>300</v>
      </c>
      <c r="G310" s="51">
        <f>1299.4-299.4+45.3+87.1+300</f>
        <v>1432.4</v>
      </c>
      <c r="H310" s="51">
        <v>1380.4</v>
      </c>
      <c r="I310" s="163">
        <f t="shared" si="8"/>
        <v>96.36972912594247</v>
      </c>
      <c r="J310" s="209" t="s">
        <v>332</v>
      </c>
    </row>
    <row r="311" spans="1:10" ht="39.75" customHeight="1">
      <c r="A311" s="96" t="s">
        <v>403</v>
      </c>
      <c r="B311" s="117" t="s">
        <v>39</v>
      </c>
      <c r="C311" s="117" t="s">
        <v>90</v>
      </c>
      <c r="D311" s="117" t="s">
        <v>16</v>
      </c>
      <c r="E311" s="219">
        <v>0</v>
      </c>
      <c r="F311" s="119"/>
      <c r="G311" s="50">
        <f>SUM(G312)</f>
        <v>26.37156</v>
      </c>
      <c r="H311" s="50">
        <f>SUM(H312)</f>
        <v>0</v>
      </c>
      <c r="I311" s="163">
        <f t="shared" si="8"/>
        <v>0</v>
      </c>
      <c r="J311" s="209"/>
    </row>
    <row r="312" spans="1:10" ht="26.25" customHeight="1">
      <c r="A312" s="78" t="s">
        <v>100</v>
      </c>
      <c r="B312" s="133" t="s">
        <v>39</v>
      </c>
      <c r="C312" s="133" t="s">
        <v>90</v>
      </c>
      <c r="D312" s="133" t="s">
        <v>16</v>
      </c>
      <c r="E312" s="135">
        <v>0</v>
      </c>
      <c r="F312" s="134">
        <v>200</v>
      </c>
      <c r="G312" s="51">
        <f>26.37156</f>
        <v>26.37156</v>
      </c>
      <c r="H312" s="51">
        <v>0</v>
      </c>
      <c r="I312" s="163">
        <f t="shared" si="8"/>
        <v>0</v>
      </c>
      <c r="J312" s="209"/>
    </row>
    <row r="313" spans="1:9" ht="15.75">
      <c r="A313" s="109" t="s">
        <v>247</v>
      </c>
      <c r="B313" s="149" t="s">
        <v>39</v>
      </c>
      <c r="C313" s="149" t="s">
        <v>246</v>
      </c>
      <c r="D313" s="149"/>
      <c r="E313" s="150"/>
      <c r="F313" s="151"/>
      <c r="G313" s="295">
        <f>SUM(G314)</f>
        <v>999.395</v>
      </c>
      <c r="H313" s="295">
        <f>SUM(H314)</f>
        <v>999.395</v>
      </c>
      <c r="I313" s="163">
        <f t="shared" si="8"/>
        <v>100</v>
      </c>
    </row>
    <row r="314" spans="1:10" ht="24">
      <c r="A314" s="96" t="s">
        <v>171</v>
      </c>
      <c r="B314" s="117" t="s">
        <v>39</v>
      </c>
      <c r="C314" s="117" t="s">
        <v>246</v>
      </c>
      <c r="D314" s="117" t="s">
        <v>16</v>
      </c>
      <c r="E314" s="118">
        <v>0</v>
      </c>
      <c r="F314" s="119"/>
      <c r="G314" s="50">
        <f>SUM(G315)</f>
        <v>999.395</v>
      </c>
      <c r="H314" s="50">
        <f>SUM(H315)</f>
        <v>999.395</v>
      </c>
      <c r="I314" s="163">
        <f t="shared" si="8"/>
        <v>100</v>
      </c>
      <c r="J314" s="87"/>
    </row>
    <row r="315" spans="1:13" ht="84">
      <c r="A315" s="96" t="s">
        <v>104</v>
      </c>
      <c r="B315" s="117" t="s">
        <v>39</v>
      </c>
      <c r="C315" s="117" t="s">
        <v>246</v>
      </c>
      <c r="D315" s="117" t="s">
        <v>16</v>
      </c>
      <c r="E315" s="118">
        <v>0</v>
      </c>
      <c r="F315" s="119"/>
      <c r="G315" s="50">
        <f>SUM(G316:G317)</f>
        <v>999.395</v>
      </c>
      <c r="H315" s="50">
        <f>SUM(H316:H317)</f>
        <v>999.395</v>
      </c>
      <c r="I315" s="163">
        <f t="shared" si="8"/>
        <v>100</v>
      </c>
      <c r="J315" s="213" t="e">
        <f>SUM(#REF!+#REF!)</f>
        <v>#REF!</v>
      </c>
      <c r="K315" s="213"/>
      <c r="L315" s="213">
        <f>SUM(H315+H295)</f>
        <v>8815.173</v>
      </c>
      <c r="M315" s="213">
        <f>SUM(I315+I295)</f>
        <v>190.61766341005017</v>
      </c>
    </row>
    <row r="316" spans="1:10" ht="43.5" customHeight="1">
      <c r="A316" s="97" t="s">
        <v>99</v>
      </c>
      <c r="B316" s="120" t="s">
        <v>39</v>
      </c>
      <c r="C316" s="120" t="s">
        <v>246</v>
      </c>
      <c r="D316" s="121" t="s">
        <v>16</v>
      </c>
      <c r="E316" s="122">
        <v>0</v>
      </c>
      <c r="F316" s="123">
        <v>100</v>
      </c>
      <c r="G316" s="51">
        <f>1000-69.705+35.84307</f>
        <v>966.13807</v>
      </c>
      <c r="H316" s="51">
        <f>1000-69.705+35.84307</f>
        <v>966.13807</v>
      </c>
      <c r="I316" s="163">
        <f t="shared" si="8"/>
        <v>100</v>
      </c>
      <c r="J316" s="87"/>
    </row>
    <row r="317" spans="1:10" ht="25.5" customHeight="1">
      <c r="A317" s="97" t="s">
        <v>100</v>
      </c>
      <c r="B317" s="120" t="s">
        <v>39</v>
      </c>
      <c r="C317" s="120" t="s">
        <v>246</v>
      </c>
      <c r="D317" s="121" t="s">
        <v>16</v>
      </c>
      <c r="E317" s="122">
        <v>0</v>
      </c>
      <c r="F317" s="123">
        <v>200</v>
      </c>
      <c r="G317" s="57">
        <f>102.1-33-35.84307</f>
        <v>33.25693</v>
      </c>
      <c r="H317" s="57">
        <f>102.1-33-35.84307</f>
        <v>33.25693</v>
      </c>
      <c r="I317" s="163">
        <f t="shared" si="8"/>
        <v>100</v>
      </c>
      <c r="J317" s="87"/>
    </row>
    <row r="318" spans="1:10" ht="20.25" customHeight="1">
      <c r="A318" s="98" t="s">
        <v>91</v>
      </c>
      <c r="B318" s="127" t="s">
        <v>39</v>
      </c>
      <c r="C318" s="127" t="s">
        <v>135</v>
      </c>
      <c r="D318" s="127"/>
      <c r="E318" s="128"/>
      <c r="F318" s="129"/>
      <c r="G318" s="53">
        <f>SUM(G327+G323+G319)</f>
        <v>400</v>
      </c>
      <c r="H318" s="53">
        <f>SUM(H327+H323+H319)</f>
        <v>400</v>
      </c>
      <c r="I318" s="163">
        <f t="shared" si="8"/>
        <v>100</v>
      </c>
      <c r="J318" s="87"/>
    </row>
    <row r="319" spans="1:10" ht="20.25" customHeight="1" hidden="1">
      <c r="A319" s="96" t="s">
        <v>307</v>
      </c>
      <c r="B319" s="117" t="s">
        <v>39</v>
      </c>
      <c r="C319" s="117" t="s">
        <v>234</v>
      </c>
      <c r="D319" s="117"/>
      <c r="E319" s="118"/>
      <c r="F319" s="119"/>
      <c r="G319" s="50">
        <f>SUM(G320)</f>
        <v>0</v>
      </c>
      <c r="H319" s="50">
        <f>SUM(H320)</f>
        <v>0</v>
      </c>
      <c r="I319" s="163" t="e">
        <f t="shared" si="8"/>
        <v>#DIV/0!</v>
      </c>
      <c r="J319" s="87"/>
    </row>
    <row r="320" spans="1:10" ht="20.25" customHeight="1" hidden="1">
      <c r="A320" s="96" t="s">
        <v>305</v>
      </c>
      <c r="B320" s="117" t="s">
        <v>39</v>
      </c>
      <c r="C320" s="117" t="s">
        <v>234</v>
      </c>
      <c r="D320" s="117" t="s">
        <v>12</v>
      </c>
      <c r="E320" s="118">
        <v>0</v>
      </c>
      <c r="F320" s="119"/>
      <c r="G320" s="50">
        <f>SUM(G321:G322)</f>
        <v>0</v>
      </c>
      <c r="H320" s="50">
        <f>SUM(H321:H322)</f>
        <v>0</v>
      </c>
      <c r="I320" s="163" t="e">
        <f t="shared" si="8"/>
        <v>#DIV/0!</v>
      </c>
      <c r="J320" s="87"/>
    </row>
    <row r="321" spans="1:10" ht="20.25" customHeight="1" hidden="1">
      <c r="A321" s="78" t="s">
        <v>316</v>
      </c>
      <c r="B321" s="133" t="s">
        <v>39</v>
      </c>
      <c r="C321" s="133" t="s">
        <v>234</v>
      </c>
      <c r="D321" s="133" t="s">
        <v>12</v>
      </c>
      <c r="E321" s="135">
        <v>0</v>
      </c>
      <c r="F321" s="134">
        <v>400</v>
      </c>
      <c r="G321" s="57">
        <v>0</v>
      </c>
      <c r="H321" s="57">
        <v>0</v>
      </c>
      <c r="I321" s="163" t="e">
        <f t="shared" si="8"/>
        <v>#DIV/0!</v>
      </c>
      <c r="J321" s="87"/>
    </row>
    <row r="322" spans="1:10" ht="20.25" customHeight="1" hidden="1">
      <c r="A322" s="78" t="s">
        <v>306</v>
      </c>
      <c r="B322" s="133" t="s">
        <v>39</v>
      </c>
      <c r="C322" s="133" t="s">
        <v>234</v>
      </c>
      <c r="D322" s="133" t="s">
        <v>12</v>
      </c>
      <c r="E322" s="135">
        <v>0</v>
      </c>
      <c r="F322" s="134">
        <v>400</v>
      </c>
      <c r="G322" s="57">
        <v>0</v>
      </c>
      <c r="H322" s="57">
        <v>0</v>
      </c>
      <c r="I322" s="163" t="e">
        <f t="shared" si="8"/>
        <v>#DIV/0!</v>
      </c>
      <c r="J322" s="87"/>
    </row>
    <row r="323" spans="1:10" ht="15.75" hidden="1">
      <c r="A323" s="225" t="s">
        <v>300</v>
      </c>
      <c r="B323" s="226" t="s">
        <v>39</v>
      </c>
      <c r="C323" s="226" t="s">
        <v>299</v>
      </c>
      <c r="D323" s="226"/>
      <c r="E323" s="227"/>
      <c r="F323" s="228"/>
      <c r="G323" s="229">
        <f>SUM(G324)</f>
        <v>0</v>
      </c>
      <c r="H323" s="229">
        <f>SUM(H324)</f>
        <v>0</v>
      </c>
      <c r="I323" s="163" t="e">
        <f t="shared" si="8"/>
        <v>#DIV/0!</v>
      </c>
      <c r="J323" s="87"/>
    </row>
    <row r="324" spans="1:10" ht="24" hidden="1">
      <c r="A324" s="225" t="s">
        <v>273</v>
      </c>
      <c r="B324" s="226" t="s">
        <v>39</v>
      </c>
      <c r="C324" s="226" t="s">
        <v>299</v>
      </c>
      <c r="D324" s="226" t="s">
        <v>18</v>
      </c>
      <c r="E324" s="227">
        <v>0</v>
      </c>
      <c r="F324" s="228"/>
      <c r="G324" s="229">
        <f>SUM(G325:G326)</f>
        <v>0</v>
      </c>
      <c r="H324" s="229">
        <f>SUM(H325:H326)</f>
        <v>0</v>
      </c>
      <c r="I324" s="163" t="e">
        <f t="shared" si="8"/>
        <v>#DIV/0!</v>
      </c>
      <c r="J324" s="87"/>
    </row>
    <row r="325" spans="1:10" ht="36" hidden="1">
      <c r="A325" s="230" t="s">
        <v>345</v>
      </c>
      <c r="B325" s="231" t="s">
        <v>39</v>
      </c>
      <c r="C325" s="231" t="s">
        <v>299</v>
      </c>
      <c r="D325" s="238" t="s">
        <v>18</v>
      </c>
      <c r="E325" s="239">
        <v>0</v>
      </c>
      <c r="F325" s="233">
        <v>400</v>
      </c>
      <c r="G325" s="234">
        <v>0</v>
      </c>
      <c r="H325" s="234">
        <v>0</v>
      </c>
      <c r="I325" s="163" t="e">
        <f t="shared" si="8"/>
        <v>#DIV/0!</v>
      </c>
      <c r="J325" s="87"/>
    </row>
    <row r="326" spans="1:10" ht="24" hidden="1">
      <c r="A326" s="236" t="s">
        <v>175</v>
      </c>
      <c r="B326" s="231" t="s">
        <v>39</v>
      </c>
      <c r="C326" s="231" t="s">
        <v>299</v>
      </c>
      <c r="D326" s="238" t="s">
        <v>18</v>
      </c>
      <c r="E326" s="239">
        <v>0</v>
      </c>
      <c r="F326" s="233">
        <v>400</v>
      </c>
      <c r="G326" s="234">
        <v>0</v>
      </c>
      <c r="H326" s="234">
        <v>0</v>
      </c>
      <c r="I326" s="163" t="e">
        <f t="shared" si="8"/>
        <v>#DIV/0!</v>
      </c>
      <c r="J326" s="87"/>
    </row>
    <row r="327" spans="1:9" ht="15.75">
      <c r="A327" s="96" t="s">
        <v>235</v>
      </c>
      <c r="B327" s="117" t="s">
        <v>39</v>
      </c>
      <c r="C327" s="117" t="s">
        <v>92</v>
      </c>
      <c r="D327" s="117"/>
      <c r="E327" s="118"/>
      <c r="F327" s="119"/>
      <c r="G327" s="50">
        <f>SUM(G328)</f>
        <v>400</v>
      </c>
      <c r="H327" s="50">
        <f>SUM(H328)</f>
        <v>400</v>
      </c>
      <c r="I327" s="163">
        <f t="shared" si="8"/>
        <v>100</v>
      </c>
    </row>
    <row r="328" spans="1:9" ht="24">
      <c r="A328" s="96" t="s">
        <v>273</v>
      </c>
      <c r="B328" s="117" t="s">
        <v>39</v>
      </c>
      <c r="C328" s="117" t="s">
        <v>92</v>
      </c>
      <c r="D328" s="117" t="s">
        <v>18</v>
      </c>
      <c r="E328" s="118">
        <v>0</v>
      </c>
      <c r="F328" s="119"/>
      <c r="G328" s="50">
        <f>SUM(G329)</f>
        <v>400</v>
      </c>
      <c r="H328" s="50">
        <f>SUM(H329)</f>
        <v>400</v>
      </c>
      <c r="I328" s="163">
        <f t="shared" si="8"/>
        <v>100</v>
      </c>
    </row>
    <row r="329" spans="1:9" ht="24" customHeight="1">
      <c r="A329" s="97" t="s">
        <v>100</v>
      </c>
      <c r="B329" s="133" t="s">
        <v>39</v>
      </c>
      <c r="C329" s="133" t="s">
        <v>92</v>
      </c>
      <c r="D329" s="121" t="s">
        <v>18</v>
      </c>
      <c r="E329" s="122">
        <v>0</v>
      </c>
      <c r="F329" s="134">
        <v>200</v>
      </c>
      <c r="G329" s="57">
        <f>500+10-10-100</f>
        <v>400</v>
      </c>
      <c r="H329" s="57">
        <f>500+10-10-100</f>
        <v>400</v>
      </c>
      <c r="I329" s="163">
        <f t="shared" si="8"/>
        <v>100</v>
      </c>
    </row>
    <row r="330" spans="1:9" ht="15.75">
      <c r="A330" s="106" t="s">
        <v>93</v>
      </c>
      <c r="B330" s="137" t="s">
        <v>39</v>
      </c>
      <c r="C330" s="137" t="s">
        <v>136</v>
      </c>
      <c r="D330" s="137"/>
      <c r="E330" s="139"/>
      <c r="F330" s="138"/>
      <c r="G330" s="59">
        <f>SUM(G332)</f>
        <v>2432.9</v>
      </c>
      <c r="H330" s="59">
        <f>SUM(H332)</f>
        <v>2432.9</v>
      </c>
      <c r="I330" s="163">
        <f aca="true" t="shared" si="9" ref="I330:I343">SUM(H330/G330)*100</f>
        <v>100</v>
      </c>
    </row>
    <row r="331" spans="1:9" ht="18.75" customHeight="1">
      <c r="A331" s="109" t="s">
        <v>94</v>
      </c>
      <c r="B331" s="149" t="s">
        <v>39</v>
      </c>
      <c r="C331" s="149" t="s">
        <v>95</v>
      </c>
      <c r="D331" s="149"/>
      <c r="E331" s="150"/>
      <c r="F331" s="160"/>
      <c r="G331" s="63">
        <f>SUM(G332)</f>
        <v>2432.9</v>
      </c>
      <c r="H331" s="63">
        <f>SUM(H332)</f>
        <v>2432.9</v>
      </c>
      <c r="I331" s="163">
        <f t="shared" si="9"/>
        <v>100</v>
      </c>
    </row>
    <row r="332" spans="1:9" ht="24.75" customHeight="1">
      <c r="A332" s="96" t="s">
        <v>377</v>
      </c>
      <c r="B332" s="117" t="s">
        <v>39</v>
      </c>
      <c r="C332" s="117" t="s">
        <v>95</v>
      </c>
      <c r="D332" s="117" t="s">
        <v>139</v>
      </c>
      <c r="E332" s="118">
        <v>0</v>
      </c>
      <c r="F332" s="119"/>
      <c r="G332" s="50">
        <f>SUM(G333:G334)</f>
        <v>2432.9</v>
      </c>
      <c r="H332" s="50">
        <f>SUM(H333:H334)</f>
        <v>2432.9</v>
      </c>
      <c r="I332" s="163">
        <f t="shared" si="9"/>
        <v>100</v>
      </c>
    </row>
    <row r="333" spans="1:9" ht="24">
      <c r="A333" s="105" t="s">
        <v>172</v>
      </c>
      <c r="B333" s="120" t="s">
        <v>39</v>
      </c>
      <c r="C333" s="120" t="s">
        <v>95</v>
      </c>
      <c r="D333" s="121" t="s">
        <v>139</v>
      </c>
      <c r="E333" s="122">
        <v>0</v>
      </c>
      <c r="F333" s="123">
        <v>600</v>
      </c>
      <c r="G333" s="51">
        <f>1200+250</f>
        <v>1450</v>
      </c>
      <c r="H333" s="51">
        <f>1200+250</f>
        <v>1450</v>
      </c>
      <c r="I333" s="163">
        <f t="shared" si="9"/>
        <v>100</v>
      </c>
    </row>
    <row r="334" spans="1:9" ht="84">
      <c r="A334" s="105" t="s">
        <v>216</v>
      </c>
      <c r="B334" s="120" t="s">
        <v>39</v>
      </c>
      <c r="C334" s="120" t="s">
        <v>95</v>
      </c>
      <c r="D334" s="121" t="s">
        <v>139</v>
      </c>
      <c r="E334" s="122">
        <v>0</v>
      </c>
      <c r="F334" s="123">
        <v>600</v>
      </c>
      <c r="G334" s="51">
        <f>1049.4+22.1-88.6</f>
        <v>982.9</v>
      </c>
      <c r="H334" s="51">
        <f>1049.4+22.1-88.6</f>
        <v>982.9</v>
      </c>
      <c r="I334" s="163">
        <f t="shared" si="9"/>
        <v>100</v>
      </c>
    </row>
    <row r="335" spans="1:9" ht="15.75">
      <c r="A335" s="106" t="s">
        <v>318</v>
      </c>
      <c r="B335" s="137" t="s">
        <v>39</v>
      </c>
      <c r="C335" s="137" t="s">
        <v>137</v>
      </c>
      <c r="D335" s="137"/>
      <c r="E335" s="139"/>
      <c r="F335" s="138"/>
      <c r="G335" s="59">
        <f>SUM(G338)</f>
        <v>250.28478</v>
      </c>
      <c r="H335" s="59">
        <f>SUM(H338)</f>
        <v>250.28478</v>
      </c>
      <c r="I335" s="163">
        <f t="shared" si="9"/>
        <v>100</v>
      </c>
    </row>
    <row r="336" spans="1:9" ht="15.75">
      <c r="A336" s="96" t="s">
        <v>391</v>
      </c>
      <c r="B336" s="117" t="s">
        <v>39</v>
      </c>
      <c r="C336" s="117" t="s">
        <v>96</v>
      </c>
      <c r="D336" s="117"/>
      <c r="E336" s="118"/>
      <c r="F336" s="119"/>
      <c r="G336" s="50">
        <f>SUM(G337)</f>
        <v>250.28478</v>
      </c>
      <c r="H336" s="50">
        <f>SUM(H337)</f>
        <v>250.28478</v>
      </c>
      <c r="I336" s="163">
        <f t="shared" si="9"/>
        <v>100</v>
      </c>
    </row>
    <row r="337" spans="1:9" ht="24">
      <c r="A337" s="96" t="s">
        <v>171</v>
      </c>
      <c r="B337" s="117" t="s">
        <v>39</v>
      </c>
      <c r="C337" s="117" t="s">
        <v>96</v>
      </c>
      <c r="D337" s="117" t="s">
        <v>16</v>
      </c>
      <c r="E337" s="118">
        <v>0</v>
      </c>
      <c r="F337" s="119"/>
      <c r="G337" s="50">
        <f>SUM(G338)</f>
        <v>250.28478</v>
      </c>
      <c r="H337" s="50">
        <f>SUM(H338)</f>
        <v>250.28478</v>
      </c>
      <c r="I337" s="163">
        <f t="shared" si="9"/>
        <v>100</v>
      </c>
    </row>
    <row r="338" spans="1:9" ht="15.75">
      <c r="A338" s="78" t="s">
        <v>318</v>
      </c>
      <c r="B338" s="133" t="s">
        <v>39</v>
      </c>
      <c r="C338" s="133" t="s">
        <v>96</v>
      </c>
      <c r="D338" s="133" t="s">
        <v>16</v>
      </c>
      <c r="E338" s="135">
        <v>0</v>
      </c>
      <c r="F338" s="134">
        <v>700</v>
      </c>
      <c r="G338" s="57">
        <f>150-150+300-84.97549+35.26027</f>
        <v>250.28478</v>
      </c>
      <c r="H338" s="57">
        <f>150-150+300-84.97549+35.26027</f>
        <v>250.28478</v>
      </c>
      <c r="I338" s="163">
        <f t="shared" si="9"/>
        <v>100</v>
      </c>
    </row>
    <row r="339" spans="1:9" ht="24">
      <c r="A339" s="98" t="s">
        <v>184</v>
      </c>
      <c r="B339" s="127" t="s">
        <v>39</v>
      </c>
      <c r="C339" s="127" t="s">
        <v>185</v>
      </c>
      <c r="D339" s="127"/>
      <c r="E339" s="128"/>
      <c r="F339" s="129"/>
      <c r="G339" s="295">
        <f aca="true" t="shared" si="10" ref="G339:H341">SUM(G340)</f>
        <v>17843.5</v>
      </c>
      <c r="H339" s="295">
        <f t="shared" si="10"/>
        <v>17843.5</v>
      </c>
      <c r="I339" s="163">
        <f t="shared" si="9"/>
        <v>100</v>
      </c>
    </row>
    <row r="340" spans="1:10" ht="15.75">
      <c r="A340" s="96" t="s">
        <v>186</v>
      </c>
      <c r="B340" s="117" t="s">
        <v>39</v>
      </c>
      <c r="C340" s="117" t="s">
        <v>187</v>
      </c>
      <c r="D340" s="117"/>
      <c r="E340" s="118"/>
      <c r="F340" s="119"/>
      <c r="G340" s="50">
        <f t="shared" si="10"/>
        <v>17843.5</v>
      </c>
      <c r="H340" s="50">
        <f t="shared" si="10"/>
        <v>17843.5</v>
      </c>
      <c r="I340" s="163">
        <f t="shared" si="9"/>
        <v>100</v>
      </c>
      <c r="J340" s="32">
        <f>SUM(G349+G350+G365)</f>
        <v>7744.699999999999</v>
      </c>
    </row>
    <row r="341" spans="1:9" ht="24">
      <c r="A341" s="96" t="s">
        <v>171</v>
      </c>
      <c r="B341" s="117" t="s">
        <v>39</v>
      </c>
      <c r="C341" s="117" t="s">
        <v>187</v>
      </c>
      <c r="D341" s="117" t="s">
        <v>16</v>
      </c>
      <c r="E341" s="118">
        <v>0</v>
      </c>
      <c r="F341" s="119"/>
      <c r="G341" s="50">
        <f t="shared" si="10"/>
        <v>17843.5</v>
      </c>
      <c r="H341" s="50">
        <f t="shared" si="10"/>
        <v>17843.5</v>
      </c>
      <c r="I341" s="163">
        <f t="shared" si="9"/>
        <v>100</v>
      </c>
    </row>
    <row r="342" spans="1:9" ht="15.75">
      <c r="A342" s="78" t="s">
        <v>174</v>
      </c>
      <c r="B342" s="133" t="s">
        <v>39</v>
      </c>
      <c r="C342" s="133" t="s">
        <v>187</v>
      </c>
      <c r="D342" s="133" t="s">
        <v>16</v>
      </c>
      <c r="E342" s="135">
        <v>0</v>
      </c>
      <c r="F342" s="134">
        <v>500</v>
      </c>
      <c r="G342" s="57">
        <f>19767-1923.5</f>
        <v>17843.5</v>
      </c>
      <c r="H342" s="57">
        <f>19767-1923.5</f>
        <v>17843.5</v>
      </c>
      <c r="I342" s="163">
        <f t="shared" si="9"/>
        <v>100</v>
      </c>
    </row>
    <row r="343" spans="1:9" ht="15.75">
      <c r="A343" s="113" t="s">
        <v>97</v>
      </c>
      <c r="B343" s="161"/>
      <c r="C343" s="114"/>
      <c r="D343" s="114"/>
      <c r="E343" s="115"/>
      <c r="F343" s="162"/>
      <c r="G343" s="66">
        <f>SUM(G10+G18+G26)</f>
        <v>465297.18943999993</v>
      </c>
      <c r="H343" s="66">
        <f>SUM(H10+H18+H26)</f>
        <v>457227.15006</v>
      </c>
      <c r="I343" s="163">
        <f t="shared" si="9"/>
        <v>98.26561613455854</v>
      </c>
    </row>
    <row r="344" spans="6:9" ht="15">
      <c r="F344" s="17"/>
      <c r="G344" s="74"/>
      <c r="H344" s="74"/>
      <c r="I344" s="74"/>
    </row>
    <row r="345" spans="6:9" ht="15">
      <c r="F345" s="17"/>
      <c r="G345" s="47"/>
      <c r="H345" s="47"/>
      <c r="I345" s="47"/>
    </row>
    <row r="346" spans="1:9" ht="12.75">
      <c r="A346" s="33"/>
      <c r="G346" s="32"/>
      <c r="H346" s="32"/>
      <c r="I346" s="32"/>
    </row>
    <row r="347" spans="1:11" ht="12.75">
      <c r="A347" s="175"/>
      <c r="F347" s="254" t="s">
        <v>155</v>
      </c>
      <c r="G347" s="256">
        <f>2974.2+1654+357.8+180.5</f>
        <v>5166.5</v>
      </c>
      <c r="H347" s="256">
        <v>4931</v>
      </c>
      <c r="I347" s="256">
        <v>4862.2</v>
      </c>
      <c r="J347" s="206">
        <v>4272.126</v>
      </c>
      <c r="K347" s="206">
        <v>4628.182</v>
      </c>
    </row>
    <row r="348" spans="1:11" ht="12.75">
      <c r="A348" s="180"/>
      <c r="F348" s="254" t="s">
        <v>243</v>
      </c>
      <c r="G348" s="256">
        <f>29.2+7.2+25.8</f>
        <v>62.2</v>
      </c>
      <c r="H348" s="256">
        <v>1.6</v>
      </c>
      <c r="I348" s="256">
        <v>1.4</v>
      </c>
      <c r="J348" s="208">
        <f>SUM(J347-G347)</f>
        <v>-894.3739999999998</v>
      </c>
      <c r="K348" s="207">
        <f>SUM(K347-I347)</f>
        <v>-234.01800000000003</v>
      </c>
    </row>
    <row r="349" spans="1:9" ht="12.75">
      <c r="A349" s="279">
        <v>5388.29333</v>
      </c>
      <c r="B349" s="195" t="s">
        <v>373</v>
      </c>
      <c r="C349" s="196"/>
      <c r="D349" s="196"/>
      <c r="F349" s="254" t="s">
        <v>157</v>
      </c>
      <c r="G349" s="256">
        <f>6234+59-2560.1+1747.1-171.1</f>
        <v>5308.9</v>
      </c>
      <c r="H349" s="256">
        <v>5494</v>
      </c>
      <c r="I349" s="256">
        <v>5494.1</v>
      </c>
    </row>
    <row r="350" spans="1:9" ht="12.75">
      <c r="A350" s="192">
        <f>4000-818.22318</f>
        <v>3181.77682</v>
      </c>
      <c r="B350" s="12" t="s">
        <v>408</v>
      </c>
      <c r="F350" s="254" t="s">
        <v>158</v>
      </c>
      <c r="G350" s="256">
        <f>1319.2+441.5-461.3-299.4+45.3+87.1+300</f>
        <v>1432.4</v>
      </c>
      <c r="H350" s="256">
        <v>1466.3</v>
      </c>
      <c r="I350" s="256">
        <v>1577.9</v>
      </c>
    </row>
    <row r="351" spans="1:9" ht="12.75">
      <c r="A351" s="192"/>
      <c r="F351" s="254" t="s">
        <v>402</v>
      </c>
      <c r="G351" s="256">
        <v>26.37156</v>
      </c>
      <c r="H351" s="256"/>
      <c r="I351" s="256"/>
    </row>
    <row r="352" spans="1:10" ht="12.75">
      <c r="A352" s="192"/>
      <c r="F352" s="254" t="s">
        <v>159</v>
      </c>
      <c r="G352" s="256">
        <f>13762.4-2780.1+242.1-1600</f>
        <v>9624.4</v>
      </c>
      <c r="H352" s="256">
        <v>10079.4</v>
      </c>
      <c r="I352" s="256">
        <v>9906.4</v>
      </c>
      <c r="J352" s="32"/>
    </row>
    <row r="353" spans="1:9" ht="12.75">
      <c r="A353" s="175">
        <v>0</v>
      </c>
      <c r="F353" s="254" t="s">
        <v>160</v>
      </c>
      <c r="G353" s="256">
        <f>1356.6-245.2-359.5</f>
        <v>751.8999999999999</v>
      </c>
      <c r="H353" s="256">
        <v>686.3</v>
      </c>
      <c r="I353" s="256">
        <v>661.7</v>
      </c>
    </row>
    <row r="354" spans="1:9" ht="12.75">
      <c r="A354" s="192">
        <f>SUM(A350:A353)</f>
        <v>3181.77682</v>
      </c>
      <c r="B354" s="193"/>
      <c r="C354" s="193"/>
      <c r="F354" s="254" t="s">
        <v>161</v>
      </c>
      <c r="G354" s="256">
        <f>23.5+9.4+22.3-24.2</f>
        <v>31.000000000000004</v>
      </c>
      <c r="H354" s="256">
        <v>55.2</v>
      </c>
      <c r="I354" s="256">
        <v>55.2</v>
      </c>
    </row>
    <row r="355" spans="1:9" ht="12.75">
      <c r="A355" s="278">
        <f>SUM(A349-A354)</f>
        <v>2206.5165100000004</v>
      </c>
      <c r="B355" s="12" t="s">
        <v>407</v>
      </c>
      <c r="F355" s="254" t="s">
        <v>162</v>
      </c>
      <c r="G355" s="256">
        <f>18.3+91-22.85255</f>
        <v>86.44745</v>
      </c>
      <c r="H355" s="256">
        <v>17.9</v>
      </c>
      <c r="I355" s="256">
        <v>17.6</v>
      </c>
    </row>
    <row r="356" spans="1:9" ht="12.75">
      <c r="A356" s="174">
        <f>186.96446+599</f>
        <v>785.96446</v>
      </c>
      <c r="B356" s="12" t="s">
        <v>432</v>
      </c>
      <c r="F356" s="254" t="s">
        <v>163</v>
      </c>
      <c r="G356" s="256">
        <f>3098.7-681.3+966.6</f>
        <v>3383.9999999999995</v>
      </c>
      <c r="H356" s="256">
        <v>3384</v>
      </c>
      <c r="I356" s="256">
        <v>3283.2</v>
      </c>
    </row>
    <row r="357" spans="1:9" ht="12.75">
      <c r="A357" s="175">
        <v>200</v>
      </c>
      <c r="B357" s="12" t="s">
        <v>431</v>
      </c>
      <c r="F357" s="254" t="s">
        <v>164</v>
      </c>
      <c r="G357" s="256">
        <f>317-37.9+48.9</f>
        <v>328</v>
      </c>
      <c r="H357" s="256">
        <v>288.8</v>
      </c>
      <c r="I357" s="256">
        <v>278.4</v>
      </c>
    </row>
    <row r="358" spans="1:9" ht="12.75">
      <c r="A358" s="192"/>
      <c r="B358" s="193"/>
      <c r="C358" s="193"/>
      <c r="F358" s="254" t="s">
        <v>165</v>
      </c>
      <c r="G358" s="256">
        <f>297-0.3+11</f>
        <v>307.7</v>
      </c>
      <c r="H358" s="256">
        <v>296.5</v>
      </c>
      <c r="I358" s="256">
        <v>296.5</v>
      </c>
    </row>
    <row r="359" spans="1:9" ht="12.75">
      <c r="A359" s="194">
        <f>SUM(A356:A358)</f>
        <v>985.96446</v>
      </c>
      <c r="B359" s="12" t="s">
        <v>430</v>
      </c>
      <c r="C359" s="196"/>
      <c r="D359" s="196"/>
      <c r="F359" s="254" t="s">
        <v>154</v>
      </c>
      <c r="G359" s="256">
        <f>1207.4-72.5-223.7+14.6</f>
        <v>925.8000000000001</v>
      </c>
      <c r="H359" s="256">
        <v>909.7</v>
      </c>
      <c r="I359" s="256">
        <v>933.7</v>
      </c>
    </row>
    <row r="360" spans="1:9" ht="12.75">
      <c r="A360" s="181"/>
      <c r="B360" s="173"/>
      <c r="C360" s="173"/>
      <c r="D360" s="173"/>
      <c r="F360" s="254" t="s">
        <v>166</v>
      </c>
      <c r="G360" s="256">
        <f>139.6-5.2+9.1</f>
        <v>143.5</v>
      </c>
      <c r="H360" s="256">
        <v>143.5</v>
      </c>
      <c r="I360" s="256">
        <v>143.5</v>
      </c>
    </row>
    <row r="361" spans="1:9" ht="12.75">
      <c r="A361" s="278">
        <f>SUM(A355-A359)</f>
        <v>1220.5520500000002</v>
      </c>
      <c r="B361" s="12" t="s">
        <v>429</v>
      </c>
      <c r="C361" s="196"/>
      <c r="D361" s="196"/>
      <c r="F361" s="254" t="s">
        <v>224</v>
      </c>
      <c r="G361" s="256">
        <f>129633.5-16848.4-15539.4+27443.4+9845.4</f>
        <v>134534.5</v>
      </c>
      <c r="H361" s="256">
        <v>123767.7</v>
      </c>
      <c r="I361" s="256">
        <v>115930.5</v>
      </c>
    </row>
    <row r="362" spans="1:9" ht="12.75">
      <c r="A362" s="174">
        <f>599+599</f>
        <v>1198</v>
      </c>
      <c r="B362" s="173"/>
      <c r="C362" s="173"/>
      <c r="D362" s="173"/>
      <c r="F362" s="254" t="s">
        <v>244</v>
      </c>
      <c r="G362" s="256">
        <f>9276.3-1332.9+1233.9-5.7-1266.7</f>
        <v>7904.899999999999</v>
      </c>
      <c r="H362" s="256">
        <v>9294.4</v>
      </c>
      <c r="I362" s="256">
        <v>9294.4</v>
      </c>
    </row>
    <row r="363" spans="1:9" ht="12.75">
      <c r="A363" s="174"/>
      <c r="B363" s="220"/>
      <c r="C363" s="173"/>
      <c r="D363" s="173"/>
      <c r="F363" s="254" t="s">
        <v>225</v>
      </c>
      <c r="G363" s="256">
        <f>15003.8-1930.3+184.1+16.9+651.7</f>
        <v>13926.2</v>
      </c>
      <c r="H363" s="256">
        <v>13426.7</v>
      </c>
      <c r="I363" s="256">
        <v>13426.7</v>
      </c>
    </row>
    <row r="364" spans="1:9" ht="12.75">
      <c r="A364" s="174">
        <f>SUM(A361-A362)</f>
        <v>22.552050000000236</v>
      </c>
      <c r="B364" s="173" t="s">
        <v>433</v>
      </c>
      <c r="C364" s="173"/>
      <c r="D364" s="173"/>
      <c r="F364" s="254" t="s">
        <v>167</v>
      </c>
      <c r="G364" s="256">
        <f>1340.3-702.8+56.4-373.9</f>
        <v>320</v>
      </c>
      <c r="H364" s="256">
        <v>833</v>
      </c>
      <c r="I364" s="256">
        <v>906.9</v>
      </c>
    </row>
    <row r="365" spans="1:9" ht="12.75">
      <c r="A365" s="181"/>
      <c r="B365" s="220"/>
      <c r="C365" s="221"/>
      <c r="D365" s="222"/>
      <c r="F365" s="254" t="s">
        <v>168</v>
      </c>
      <c r="G365" s="256">
        <f>975-308.1+21.5+3+312</f>
        <v>1003.4</v>
      </c>
      <c r="H365" s="256">
        <v>608.3</v>
      </c>
      <c r="I365" s="256">
        <v>586.5</v>
      </c>
    </row>
    <row r="366" spans="1:9" ht="12.75">
      <c r="A366" s="174"/>
      <c r="B366" s="173"/>
      <c r="C366" s="173"/>
      <c r="D366" s="173"/>
      <c r="F366" s="254" t="s">
        <v>156</v>
      </c>
      <c r="G366" s="256">
        <f>440.7+21.3+1.8+0.2</f>
        <v>464</v>
      </c>
      <c r="H366" s="256">
        <v>423.3</v>
      </c>
      <c r="I366" s="256">
        <v>408.2</v>
      </c>
    </row>
    <row r="367" spans="1:9" ht="12.75">
      <c r="A367" s="181"/>
      <c r="B367" s="221"/>
      <c r="C367" s="173"/>
      <c r="D367" s="173"/>
      <c r="F367" s="254"/>
      <c r="G367" s="256"/>
      <c r="H367" s="256"/>
      <c r="I367" s="256"/>
    </row>
    <row r="368" spans="1:9" ht="12.75">
      <c r="A368" s="210">
        <f>SUM(A365-A366-A367)</f>
        <v>0</v>
      </c>
      <c r="G368" s="32"/>
      <c r="H368" s="32"/>
      <c r="I368" s="32"/>
    </row>
    <row r="369" spans="1:9" ht="12.75">
      <c r="A369" s="182"/>
      <c r="B369" s="67"/>
      <c r="C369" s="67"/>
      <c r="D369" s="67"/>
      <c r="E369" s="68"/>
      <c r="F369" s="69"/>
      <c r="G369" s="70">
        <f>SUM(G347:G368)</f>
        <v>185732.11901</v>
      </c>
      <c r="H369" s="70">
        <f>SUM(H347:H368)</f>
        <v>176107.59999999998</v>
      </c>
      <c r="I369" s="70">
        <f>SUM(I347:I368)</f>
        <v>168065</v>
      </c>
    </row>
    <row r="370" spans="1:9" ht="12.75">
      <c r="A370" s="174"/>
      <c r="F370" s="254" t="s">
        <v>241</v>
      </c>
      <c r="G370" s="256">
        <f>1507.9-160.8+603.1+322.1</f>
        <v>2272.3</v>
      </c>
      <c r="H370" s="256">
        <v>1950.2</v>
      </c>
      <c r="I370" s="256">
        <v>1950.2</v>
      </c>
    </row>
    <row r="371" spans="1:9" ht="12.75">
      <c r="A371" s="192">
        <f>SUM(A349-A368)</f>
        <v>5388.29333</v>
      </c>
      <c r="F371" s="254" t="s">
        <v>270</v>
      </c>
      <c r="G371" s="256">
        <f>900.8+30.8+193.9</f>
        <v>1125.5</v>
      </c>
      <c r="H371" s="256">
        <v>1125.5</v>
      </c>
      <c r="I371" s="256">
        <v>1125.5</v>
      </c>
    </row>
    <row r="372" spans="1:9" ht="12.75">
      <c r="A372" s="174">
        <f>SUM(A349-A354-A359-A362)</f>
        <v>22.552050000000236</v>
      </c>
      <c r="B372" s="173" t="s">
        <v>434</v>
      </c>
      <c r="C372" s="294"/>
      <c r="F372" s="254" t="s">
        <v>360</v>
      </c>
      <c r="G372" s="256">
        <v>4000</v>
      </c>
      <c r="H372" s="256">
        <v>1000</v>
      </c>
      <c r="I372" s="256">
        <v>1000</v>
      </c>
    </row>
    <row r="373" spans="1:9" ht="12.75">
      <c r="A373" s="174">
        <f>SUM(A350+A359+A362)</f>
        <v>5365.74128</v>
      </c>
      <c r="F373" s="254" t="s">
        <v>271</v>
      </c>
      <c r="G373" s="255">
        <f>3615+8000-2000+1200+200</f>
        <v>11015</v>
      </c>
      <c r="H373" s="255">
        <v>10515</v>
      </c>
      <c r="I373" s="255">
        <v>10515</v>
      </c>
    </row>
    <row r="374" spans="1:9" ht="12.75">
      <c r="A374" s="174"/>
      <c r="F374" s="254" t="s">
        <v>337</v>
      </c>
      <c r="G374" s="255">
        <v>8000</v>
      </c>
      <c r="H374" s="255">
        <v>8000</v>
      </c>
      <c r="I374" s="255">
        <v>8000</v>
      </c>
    </row>
    <row r="375" spans="1:13" ht="12.75">
      <c r="A375" s="174"/>
      <c r="F375" s="170" t="s">
        <v>298</v>
      </c>
      <c r="G375" s="47"/>
      <c r="H375" s="47"/>
      <c r="I375" s="47"/>
      <c r="J375" s="32" t="e">
        <f>SUM(#REF!)</f>
        <v>#REF!</v>
      </c>
      <c r="K375" s="32" t="e">
        <f>SUM(#REF!)</f>
        <v>#REF!</v>
      </c>
      <c r="L375" s="32">
        <f>SUM(H376:H379)</f>
        <v>7000</v>
      </c>
      <c r="M375" s="32">
        <f>SUM(I376:I379)</f>
        <v>7000</v>
      </c>
    </row>
    <row r="376" spans="1:9" ht="12.75">
      <c r="A376" s="174"/>
      <c r="F376" s="254" t="s">
        <v>302</v>
      </c>
      <c r="G376" s="256">
        <v>5000</v>
      </c>
      <c r="H376" s="256">
        <v>5000</v>
      </c>
      <c r="I376" s="256">
        <v>5000</v>
      </c>
    </row>
    <row r="377" spans="1:9" ht="12.75">
      <c r="A377" s="174"/>
      <c r="C377" s="173"/>
      <c r="F377" s="254" t="s">
        <v>334</v>
      </c>
      <c r="G377" s="256">
        <v>5400</v>
      </c>
      <c r="H377" s="256"/>
      <c r="I377" s="256"/>
    </row>
    <row r="378" spans="1:9" ht="12.75">
      <c r="A378" s="174"/>
      <c r="F378" s="254" t="s">
        <v>303</v>
      </c>
      <c r="G378" s="256">
        <v>1000</v>
      </c>
      <c r="H378" s="256">
        <v>1000</v>
      </c>
      <c r="I378" s="256">
        <v>1000</v>
      </c>
    </row>
    <row r="379" spans="1:9" ht="12.75">
      <c r="A379" s="174"/>
      <c r="F379" s="254" t="s">
        <v>304</v>
      </c>
      <c r="G379" s="256">
        <v>1000</v>
      </c>
      <c r="H379" s="256">
        <v>1000</v>
      </c>
      <c r="I379" s="256">
        <v>1000</v>
      </c>
    </row>
    <row r="380" spans="1:9" ht="12.75">
      <c r="A380" s="174"/>
      <c r="D380" s="193">
        <v>72270</v>
      </c>
      <c r="F380" s="254" t="s">
        <v>374</v>
      </c>
      <c r="G380" s="256">
        <v>4339.2</v>
      </c>
      <c r="H380" s="256">
        <v>4339.2</v>
      </c>
      <c r="I380" s="256">
        <v>4339.2</v>
      </c>
    </row>
    <row r="381" spans="1:9" ht="12.75">
      <c r="A381" s="174"/>
      <c r="D381" s="193" t="s">
        <v>376</v>
      </c>
      <c r="F381" s="254" t="s">
        <v>375</v>
      </c>
      <c r="G381" s="256">
        <f>2191.7+4859.40012+292.64591</f>
        <v>7343.74603</v>
      </c>
      <c r="H381" s="256"/>
      <c r="I381" s="256"/>
    </row>
    <row r="382" spans="1:9" ht="12.75">
      <c r="A382" s="174"/>
      <c r="F382" s="11" t="s">
        <v>313</v>
      </c>
      <c r="G382" s="169">
        <v>939.9</v>
      </c>
      <c r="H382" s="74"/>
      <c r="I382" s="74"/>
    </row>
    <row r="383" spans="1:9" ht="12.75">
      <c r="A383" s="174"/>
      <c r="F383" s="254" t="s">
        <v>406</v>
      </c>
      <c r="G383" s="256">
        <v>1999.9</v>
      </c>
      <c r="H383" s="211"/>
      <c r="I383" s="211"/>
    </row>
    <row r="384" spans="1:9" ht="12.75">
      <c r="A384" s="174"/>
      <c r="F384" s="254" t="s">
        <v>242</v>
      </c>
      <c r="G384" s="255">
        <f>17567+2200</f>
        <v>19767</v>
      </c>
      <c r="H384" s="255">
        <v>19767</v>
      </c>
      <c r="I384" s="255">
        <v>19767</v>
      </c>
    </row>
    <row r="385" spans="1:9" ht="12.75">
      <c r="A385" s="174"/>
      <c r="F385" s="170" t="s">
        <v>372</v>
      </c>
      <c r="G385" s="47"/>
      <c r="H385" s="47"/>
      <c r="I385" s="47"/>
    </row>
    <row r="386" spans="1:9" ht="12.75">
      <c r="A386" s="174"/>
      <c r="F386" s="254" t="s">
        <v>248</v>
      </c>
      <c r="G386" s="255">
        <f>1049.4+22.1-88.6</f>
        <v>982.9</v>
      </c>
      <c r="H386" s="255">
        <v>1071.5</v>
      </c>
      <c r="I386" s="255">
        <v>1071.5</v>
      </c>
    </row>
    <row r="387" spans="1:9" ht="12.75">
      <c r="A387" s="174"/>
      <c r="F387" s="254" t="s">
        <v>321</v>
      </c>
      <c r="G387" s="257">
        <f>6215.8-293.3+122.39443</f>
        <v>6044.89443</v>
      </c>
      <c r="H387" s="257">
        <v>6008.5</v>
      </c>
      <c r="I387" s="257">
        <v>6190</v>
      </c>
    </row>
    <row r="388" spans="1:9" ht="12.75">
      <c r="A388" s="174"/>
      <c r="F388" s="247" t="s">
        <v>367</v>
      </c>
      <c r="G388" s="212"/>
      <c r="H388" s="212"/>
      <c r="I388" s="212"/>
    </row>
    <row r="389" spans="1:9" ht="12.75">
      <c r="A389" s="174"/>
      <c r="F389" s="171" t="s">
        <v>327</v>
      </c>
      <c r="G389" s="35"/>
      <c r="H389" s="35"/>
      <c r="I389" s="35"/>
    </row>
    <row r="390" spans="1:9" ht="12.75">
      <c r="A390" s="174"/>
      <c r="F390" s="171" t="s">
        <v>358</v>
      </c>
      <c r="G390" s="74"/>
      <c r="H390" s="74"/>
      <c r="I390" s="74"/>
    </row>
    <row r="391" spans="1:9" ht="12.75">
      <c r="A391" s="182" t="s">
        <v>226</v>
      </c>
      <c r="B391" s="67"/>
      <c r="C391" s="67"/>
      <c r="D391" s="67"/>
      <c r="E391" s="68"/>
      <c r="F391" s="248"/>
      <c r="G391" s="249">
        <f>SUM(G370:G390)</f>
        <v>80230.34045999999</v>
      </c>
      <c r="H391" s="249">
        <f>SUM(H370:H390)</f>
        <v>60776.9</v>
      </c>
      <c r="I391" s="249">
        <f>SUM(I370:I390)</f>
        <v>60958.4</v>
      </c>
    </row>
    <row r="392" spans="1:9" ht="12.75">
      <c r="A392" s="182"/>
      <c r="B392" s="173"/>
      <c r="C392" s="173"/>
      <c r="D392" s="26" t="s">
        <v>325</v>
      </c>
      <c r="E392" s="199"/>
      <c r="F392" s="200" t="s">
        <v>428</v>
      </c>
      <c r="G392" s="212">
        <v>252</v>
      </c>
      <c r="H392" s="212"/>
      <c r="I392" s="212"/>
    </row>
    <row r="393" spans="1:9" ht="12.75">
      <c r="A393" s="182"/>
      <c r="B393" s="173"/>
      <c r="C393" s="173"/>
      <c r="D393" s="26" t="s">
        <v>325</v>
      </c>
      <c r="E393" s="199"/>
      <c r="F393" s="254" t="s">
        <v>323</v>
      </c>
      <c r="G393" s="255">
        <f>11327.4+923.96005+1544.7059-126.30997</f>
        <v>13669.75598</v>
      </c>
      <c r="H393" s="255">
        <v>11327.4</v>
      </c>
      <c r="I393" s="255">
        <v>11327.4</v>
      </c>
    </row>
    <row r="394" spans="1:9" ht="12.75">
      <c r="A394" s="182"/>
      <c r="B394" s="173"/>
      <c r="C394" s="173"/>
      <c r="D394" s="26" t="s">
        <v>325</v>
      </c>
      <c r="E394" s="199"/>
      <c r="F394" s="254" t="s">
        <v>267</v>
      </c>
      <c r="G394" s="256">
        <f>268.9-86.8</f>
        <v>182.09999999999997</v>
      </c>
      <c r="H394" s="256">
        <v>166.2</v>
      </c>
      <c r="I394" s="256">
        <v>160.3</v>
      </c>
    </row>
    <row r="395" spans="1:9" ht="12.75">
      <c r="A395" s="182"/>
      <c r="B395" s="173"/>
      <c r="C395" s="173"/>
      <c r="D395" s="173" t="s">
        <v>426</v>
      </c>
      <c r="E395" s="199"/>
      <c r="F395" s="200" t="s">
        <v>427</v>
      </c>
      <c r="G395" s="201">
        <f>1018+11.3+16.4</f>
        <v>1045.7</v>
      </c>
      <c r="H395" s="201"/>
      <c r="I395" s="201"/>
    </row>
    <row r="396" spans="1:9" ht="12.75">
      <c r="A396" s="182"/>
      <c r="B396" s="173"/>
      <c r="C396" s="173"/>
      <c r="D396" s="26" t="s">
        <v>325</v>
      </c>
      <c r="E396" s="199"/>
      <c r="F396" s="200" t="s">
        <v>435</v>
      </c>
      <c r="G396" s="201">
        <v>1177.38558</v>
      </c>
      <c r="H396" s="201"/>
      <c r="I396" s="201"/>
    </row>
    <row r="397" spans="1:9" ht="12.75">
      <c r="A397" s="182"/>
      <c r="B397" s="173"/>
      <c r="C397" s="173"/>
      <c r="D397" s="26" t="s">
        <v>325</v>
      </c>
      <c r="E397" s="199"/>
      <c r="F397" s="200" t="s">
        <v>438</v>
      </c>
      <c r="G397" s="201">
        <v>700.4</v>
      </c>
      <c r="H397" s="201"/>
      <c r="I397" s="201"/>
    </row>
    <row r="398" spans="1:9" ht="12.75">
      <c r="A398" s="182"/>
      <c r="B398" s="173"/>
      <c r="C398" s="173"/>
      <c r="D398" s="26" t="s">
        <v>325</v>
      </c>
      <c r="E398" s="199"/>
      <c r="F398" s="200" t="s">
        <v>437</v>
      </c>
      <c r="G398" s="201">
        <v>278.5</v>
      </c>
      <c r="H398" s="201"/>
      <c r="I398" s="201"/>
    </row>
    <row r="399" spans="1:9" ht="12.75">
      <c r="A399" s="182" t="s">
        <v>320</v>
      </c>
      <c r="B399" s="67"/>
      <c r="C399" s="67"/>
      <c r="D399" s="67"/>
      <c r="E399" s="68"/>
      <c r="F399" s="69"/>
      <c r="G399" s="71">
        <f>SUM(G392:G398)</f>
        <v>17305.84156</v>
      </c>
      <c r="H399" s="71">
        <f>SUM(H392:H398)</f>
        <v>11493.6</v>
      </c>
      <c r="I399" s="71">
        <f>SUM(I392:I398)</f>
        <v>11487.699999999999</v>
      </c>
    </row>
    <row r="400" spans="1:9" ht="12.75">
      <c r="A400" s="174"/>
      <c r="B400" s="205" t="s">
        <v>322</v>
      </c>
      <c r="C400" s="196"/>
      <c r="D400" s="196"/>
      <c r="E400" s="202"/>
      <c r="F400" s="203"/>
      <c r="G400" s="204">
        <f>SUM(G391,G369,G399)</f>
        <v>283268.30103</v>
      </c>
      <c r="H400" s="204">
        <f>SUM(H391,H369,H399)</f>
        <v>248378.09999999998</v>
      </c>
      <c r="I400" s="204">
        <f>SUM(I391,I369,I399)</f>
        <v>240511.1</v>
      </c>
    </row>
    <row r="401" spans="1:9" ht="12.75">
      <c r="A401" s="174"/>
      <c r="G401" s="24"/>
      <c r="H401" s="24"/>
      <c r="I401" s="24"/>
    </row>
    <row r="402" spans="1:9" ht="15">
      <c r="A402" s="174"/>
      <c r="F402" s="17" t="s">
        <v>146</v>
      </c>
      <c r="G402" s="32">
        <f>2410.6-174.6+497.9+467.2+182.4+68.9+471.8+8.3+15.2+51.3+226.9+9.9+11.5+376.7-0.5</f>
        <v>4623.5</v>
      </c>
      <c r="H402" s="32">
        <f>3339.4+190.6</f>
        <v>3530</v>
      </c>
      <c r="I402" s="32">
        <f>3496.4+198.9</f>
        <v>3695.3</v>
      </c>
    </row>
    <row r="403" spans="1:9" ht="15">
      <c r="A403" s="174"/>
      <c r="F403" s="17" t="s">
        <v>147</v>
      </c>
      <c r="G403" s="32">
        <f>115911.4+26380.2-12.5+8061+1376.9+287.4+190+309.8+1155.4+3761.3+120.7-25.6+2291.4</f>
        <v>159807.39999999997</v>
      </c>
      <c r="H403" s="32">
        <v>152956.8</v>
      </c>
      <c r="I403" s="32">
        <v>155924.4</v>
      </c>
    </row>
    <row r="404" spans="1:10" ht="15">
      <c r="A404" s="174"/>
      <c r="F404" s="17" t="s">
        <v>329</v>
      </c>
      <c r="G404" s="185">
        <f>3418+706.287+8080.80808+8000+4.6-8000</f>
        <v>12209.695079999998</v>
      </c>
      <c r="H404" s="185">
        <v>3418</v>
      </c>
      <c r="I404" s="185">
        <v>3418</v>
      </c>
      <c r="J404" s="32" t="e">
        <f>SUM(G400+G404-#REF!)</f>
        <v>#REF!</v>
      </c>
    </row>
    <row r="405" spans="1:9" ht="15">
      <c r="A405" s="174"/>
      <c r="F405" s="17"/>
      <c r="G405" s="34">
        <f>SUM(G402:G404)</f>
        <v>176640.59507999997</v>
      </c>
      <c r="H405" s="34">
        <f>SUM(H402:H404)</f>
        <v>159904.8</v>
      </c>
      <c r="I405" s="34">
        <f>SUM(I402:I404)</f>
        <v>163037.69999999998</v>
      </c>
    </row>
    <row r="406" spans="1:9" ht="15">
      <c r="A406" s="175"/>
      <c r="F406" s="72" t="s">
        <v>169</v>
      </c>
      <c r="G406" s="73">
        <f>SUM(G400+G405)</f>
        <v>459908.89611</v>
      </c>
      <c r="H406" s="73">
        <f>SUM(H400+H405)</f>
        <v>408282.89999999997</v>
      </c>
      <c r="I406" s="73">
        <f>SUM(I400+I405)</f>
        <v>403548.8</v>
      </c>
    </row>
    <row r="407" spans="1:9" ht="15">
      <c r="A407" s="16"/>
      <c r="B407" s="2"/>
      <c r="C407" s="2"/>
      <c r="D407" s="2"/>
      <c r="E407" s="2"/>
      <c r="F407" s="17"/>
      <c r="G407" s="191">
        <f>SUM(G406-G343)</f>
        <v>-5388.293329999957</v>
      </c>
      <c r="H407" s="24">
        <f>SUM(H406-H343)</f>
        <v>-48944.25006000005</v>
      </c>
      <c r="I407" s="24">
        <f>SUM(I406-I343)</f>
        <v>403450.5343838654</v>
      </c>
    </row>
    <row r="408" spans="1:5" ht="12.75">
      <c r="A408" s="2"/>
      <c r="B408" s="2"/>
      <c r="C408" s="2"/>
      <c r="D408" s="2"/>
      <c r="E408" s="2"/>
    </row>
    <row r="409" spans="1:9" ht="12.75">
      <c r="A409" s="93" t="s">
        <v>282</v>
      </c>
      <c r="F409" s="11" t="s">
        <v>146</v>
      </c>
      <c r="G409" s="172">
        <f>SUM(G402+G403)</f>
        <v>164430.89999999997</v>
      </c>
      <c r="H409" s="172">
        <f>SUM(H402+H403)</f>
        <v>156486.8</v>
      </c>
      <c r="I409" s="172">
        <f>SUM(I402+I403)</f>
        <v>159619.69999999998</v>
      </c>
    </row>
    <row r="410" spans="7:9" ht="12.75">
      <c r="G410" s="2">
        <v>0</v>
      </c>
      <c r="H410" s="2">
        <v>2.5</v>
      </c>
      <c r="I410" s="2">
        <v>5</v>
      </c>
    </row>
    <row r="411" spans="7:9" ht="12.75">
      <c r="G411" s="2">
        <f>SUM(G409*G410)/100</f>
        <v>0</v>
      </c>
      <c r="H411" s="183">
        <f>SUM(H409*H410)/100</f>
        <v>3912.17</v>
      </c>
      <c r="I411" s="183">
        <f>SUM(I409*I410)/100</f>
        <v>7980.984999999999</v>
      </c>
    </row>
    <row r="412" ht="12.75">
      <c r="G412" s="32">
        <f>SUM(G400+G404)</f>
        <v>295477.99610999995</v>
      </c>
    </row>
    <row r="414" ht="12.75">
      <c r="G414" s="192" t="e">
        <f>SUM(#REF!+A349)</f>
        <v>#REF!</v>
      </c>
    </row>
    <row r="415" ht="12.75">
      <c r="E415" s="31" t="s">
        <v>364</v>
      </c>
    </row>
  </sheetData>
  <sheetProtection/>
  <mergeCells count="7">
    <mergeCell ref="G4:I4"/>
    <mergeCell ref="G8:H8"/>
    <mergeCell ref="E5:F5"/>
    <mergeCell ref="G1:I1"/>
    <mergeCell ref="G2:I2"/>
    <mergeCell ref="G3:I3"/>
    <mergeCell ref="A6:I6"/>
  </mergeCells>
  <printOptions/>
  <pageMargins left="0.3937007874015748" right="0" top="0.3937007874015748" bottom="0.3937007874015748" header="0.5118110236220472" footer="0.5118110236220472"/>
  <pageSetup fitToHeight="1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344"/>
  <sheetViews>
    <sheetView showGridLines="0" zoomScale="110" zoomScaleNormal="110" zoomScalePageLayoutView="0" workbookViewId="0" topLeftCell="A1">
      <pane ySplit="9" topLeftCell="A334" activePane="bottomLeft" state="frozen"/>
      <selection pane="topLeft" activeCell="A1" sqref="A1"/>
      <selection pane="bottomLeft" activeCell="H10" sqref="H10:H342"/>
    </sheetView>
  </sheetViews>
  <sheetFormatPr defaultColWidth="9.140625" defaultRowHeight="12.75" outlineLevelRow="5"/>
  <cols>
    <col min="1" max="1" width="47.140625" style="7" customWidth="1"/>
    <col min="2" max="2" width="4.57421875" style="12" customWidth="1"/>
    <col min="3" max="3" width="4.140625" style="12" customWidth="1"/>
    <col min="4" max="4" width="3.57421875" style="13" customWidth="1"/>
    <col min="5" max="5" width="4.28125" style="11" customWidth="1"/>
    <col min="6" max="6" width="8.8515625" style="2" customWidth="1"/>
    <col min="7" max="16384" width="9.140625" style="2" customWidth="1"/>
  </cols>
  <sheetData>
    <row r="1" spans="1:8" ht="18.75" customHeight="1">
      <c r="A1" s="88"/>
      <c r="B1" s="89"/>
      <c r="C1" s="90"/>
      <c r="D1" s="90"/>
      <c r="E1" s="90"/>
      <c r="F1" s="299"/>
      <c r="G1" s="299"/>
      <c r="H1" s="299"/>
    </row>
    <row r="2" spans="1:8" ht="12.75" customHeight="1">
      <c r="A2" s="88"/>
      <c r="B2" s="299" t="s">
        <v>140</v>
      </c>
      <c r="C2" s="299"/>
      <c r="D2" s="299"/>
      <c r="E2" s="299"/>
      <c r="F2" s="299"/>
      <c r="G2" s="299"/>
      <c r="H2" s="299"/>
    </row>
    <row r="3" spans="1:8" ht="18.75" customHeight="1">
      <c r="A3" s="88"/>
      <c r="B3" s="89"/>
      <c r="C3" s="89"/>
      <c r="D3" s="91"/>
      <c r="E3" s="299" t="s">
        <v>141</v>
      </c>
      <c r="F3" s="299"/>
      <c r="G3" s="299"/>
      <c r="H3" s="299"/>
    </row>
    <row r="4" spans="1:8" ht="18.75" customHeight="1">
      <c r="A4" s="299" t="s">
        <v>153</v>
      </c>
      <c r="B4" s="299"/>
      <c r="C4" s="299"/>
      <c r="D4" s="299"/>
      <c r="E4" s="299"/>
      <c r="F4" s="299"/>
      <c r="G4" s="299"/>
      <c r="H4" s="299"/>
    </row>
    <row r="5" spans="1:5" ht="15">
      <c r="A5" s="8"/>
      <c r="B5" s="1"/>
      <c r="C5" s="1"/>
      <c r="D5" s="5"/>
      <c r="E5" s="10"/>
    </row>
    <row r="6" spans="1:8" ht="33" customHeight="1">
      <c r="A6" s="304" t="s">
        <v>384</v>
      </c>
      <c r="B6" s="304"/>
      <c r="C6" s="304"/>
      <c r="D6" s="304"/>
      <c r="E6" s="304"/>
      <c r="F6" s="304"/>
      <c r="G6" s="304"/>
      <c r="H6" s="304"/>
    </row>
    <row r="7" spans="1:5" ht="7.5" customHeight="1">
      <c r="A7" s="36"/>
      <c r="B7" s="37"/>
      <c r="C7" s="37"/>
      <c r="D7" s="38"/>
      <c r="E7" s="39"/>
    </row>
    <row r="8" spans="1:8" ht="6.75" customHeight="1">
      <c r="A8" s="36"/>
      <c r="B8" s="37"/>
      <c r="C8" s="37"/>
      <c r="D8" s="38"/>
      <c r="E8" s="39"/>
      <c r="F8" s="303"/>
      <c r="G8" s="303"/>
      <c r="H8" s="197" t="s">
        <v>317</v>
      </c>
    </row>
    <row r="9" spans="1:8" ht="87.75" customHeight="1">
      <c r="A9" s="41" t="s">
        <v>1</v>
      </c>
      <c r="B9" s="268" t="s">
        <v>195</v>
      </c>
      <c r="C9" s="276" t="s">
        <v>240</v>
      </c>
      <c r="D9" s="266" t="s">
        <v>8</v>
      </c>
      <c r="E9" s="267" t="s">
        <v>170</v>
      </c>
      <c r="F9" s="40" t="s">
        <v>297</v>
      </c>
      <c r="G9" s="40" t="s">
        <v>440</v>
      </c>
      <c r="H9" s="40" t="s">
        <v>439</v>
      </c>
    </row>
    <row r="10" spans="1:8" s="4" customFormat="1" ht="12.75" outlineLevel="3">
      <c r="A10" s="78" t="str">
        <f>'Таблица №10'!A11</f>
        <v>ОБЩЕГОСУДАРСТВЕННЫЕ ВОПРОСЫ</v>
      </c>
      <c r="B10" s="177" t="str">
        <f>'Таблица №10'!C11</f>
        <v>0100</v>
      </c>
      <c r="C10" s="177"/>
      <c r="D10" s="177"/>
      <c r="E10" s="177"/>
      <c r="F10" s="94">
        <f>SUM(F11+F20+F50+F54+F57+F14+F44+F40)</f>
        <v>89253.11015999998</v>
      </c>
      <c r="G10" s="94">
        <f>SUM(G11+G20+G50+G54+G57+G14+G44+G40)</f>
        <v>89253.11015999998</v>
      </c>
      <c r="H10" s="163">
        <f aca="true" t="shared" si="0" ref="H10:H73">SUM(G10/F10)*100</f>
        <v>100</v>
      </c>
    </row>
    <row r="11" spans="1:8" s="4" customFormat="1" ht="24" outlineLevel="3">
      <c r="A11" s="78" t="str">
        <f>'Таблица №10'!A28</f>
        <v>Функционирование высшего должностного лица субъекта Российской Федерации и муниципального образования</v>
      </c>
      <c r="B11" s="177" t="str">
        <f>'Таблица №10'!C28</f>
        <v>0102</v>
      </c>
      <c r="C11" s="177"/>
      <c r="D11" s="177"/>
      <c r="E11" s="177"/>
      <c r="F11" s="94">
        <f>SUM('Таблица №10'!G29)</f>
        <v>2005.7305999999999</v>
      </c>
      <c r="G11" s="94">
        <f>SUM('Таблица №10'!H29)</f>
        <v>2005.7305999999999</v>
      </c>
      <c r="H11" s="163">
        <f t="shared" si="0"/>
        <v>100</v>
      </c>
    </row>
    <row r="12" spans="1:8" s="4" customFormat="1" ht="36" outlineLevel="3">
      <c r="A12" s="78" t="str">
        <f>'Таблица №10'!A29</f>
        <v>Непрограммные направления обеспечения деятельности органов местного самоуправления Алексеевского муниципального района</v>
      </c>
      <c r="B12" s="177" t="str">
        <f>'Таблица №10'!C29</f>
        <v>0102</v>
      </c>
      <c r="C12" s="177" t="s">
        <v>11</v>
      </c>
      <c r="D12" s="177" t="s">
        <v>9</v>
      </c>
      <c r="E12" s="177">
        <v>100</v>
      </c>
      <c r="F12" s="94">
        <f>SUM('Таблица №10'!G30)</f>
        <v>2005.7305999999999</v>
      </c>
      <c r="G12" s="94">
        <f>SUM('Таблица №10'!H30)</f>
        <v>2005.7305999999999</v>
      </c>
      <c r="H12" s="163">
        <f t="shared" si="0"/>
        <v>100</v>
      </c>
    </row>
    <row r="13" spans="1:8" ht="48" outlineLevel="1">
      <c r="A13" s="78" t="str">
        <f>'Таблица №10'!A30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" s="177" t="str">
        <f>'Таблица №10'!C30</f>
        <v>0102</v>
      </c>
      <c r="C13" s="177" t="s">
        <v>11</v>
      </c>
      <c r="D13" s="177">
        <v>0</v>
      </c>
      <c r="E13" s="177">
        <v>100</v>
      </c>
      <c r="F13" s="94">
        <f>SUM('Таблица №10'!G30)</f>
        <v>2005.7305999999999</v>
      </c>
      <c r="G13" s="94">
        <f>SUM('Таблица №10'!H30)</f>
        <v>2005.7305999999999</v>
      </c>
      <c r="H13" s="163">
        <f t="shared" si="0"/>
        <v>100</v>
      </c>
    </row>
    <row r="14" spans="1:8" ht="37.5" customHeight="1" outlineLevel="1">
      <c r="A14" s="78" t="str">
        <f>'Таблица №10'!A12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14" s="177" t="str">
        <f>'Таблица №10'!C12</f>
        <v>0103</v>
      </c>
      <c r="C14" s="178"/>
      <c r="D14" s="177"/>
      <c r="E14" s="177"/>
      <c r="F14" s="94">
        <f>SUBTOTAL(9,'Таблица №10'!G11)</f>
        <v>519.38223</v>
      </c>
      <c r="G14" s="94">
        <f>SUBTOTAL(9,'Таблица №10'!H11)</f>
        <v>519.38223</v>
      </c>
      <c r="H14" s="163">
        <f t="shared" si="0"/>
        <v>100</v>
      </c>
    </row>
    <row r="15" spans="1:8" ht="24.75" customHeight="1" outlineLevel="1">
      <c r="A15" s="78" t="str">
        <f>'Таблица №10'!A13</f>
        <v>Непрограммные направления обеспечения деятельности органов местного самоуправления Алексеевского муниципального района</v>
      </c>
      <c r="B15" s="177" t="str">
        <f>'Таблица №10'!C13</f>
        <v>0103</v>
      </c>
      <c r="C15" s="178"/>
      <c r="D15" s="177"/>
      <c r="E15" s="177"/>
      <c r="F15" s="94">
        <f>SUBTOTAL(9,'Таблица №10'!G12)</f>
        <v>519.38223</v>
      </c>
      <c r="G15" s="94">
        <f>SUBTOTAL(9,'Таблица №10'!H12)</f>
        <v>519.38223</v>
      </c>
      <c r="H15" s="163">
        <f t="shared" si="0"/>
        <v>100</v>
      </c>
    </row>
    <row r="16" spans="1:8" ht="48" outlineLevel="1">
      <c r="A16" s="78" t="str">
        <f>'Таблица №10'!A14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177" t="str">
        <f>'Таблица №10'!C14</f>
        <v>0103</v>
      </c>
      <c r="C16" s="177" t="str">
        <f>'Таблица №10'!D14</f>
        <v>90</v>
      </c>
      <c r="D16" s="177" t="str">
        <f>'Таблица №10'!E14</f>
        <v>0</v>
      </c>
      <c r="E16" s="177">
        <f>'Таблица №10'!F14</f>
        <v>100</v>
      </c>
      <c r="F16" s="94">
        <f>SUBTOTAL(9,'Таблица №10'!G14)</f>
        <v>458.12103</v>
      </c>
      <c r="G16" s="94">
        <f>SUBTOTAL(9,'Таблица №10'!H14)</f>
        <v>458.12103</v>
      </c>
      <c r="H16" s="163">
        <f t="shared" si="0"/>
        <v>100</v>
      </c>
    </row>
    <row r="17" spans="1:8" ht="24" outlineLevel="1">
      <c r="A17" s="78" t="str">
        <f>'Таблица №10'!A15</f>
        <v>Закупка товаров, работ и услуг для государственных (муниципальных) нужд</v>
      </c>
      <c r="B17" s="177" t="str">
        <f>'Таблица №10'!C15</f>
        <v>0103</v>
      </c>
      <c r="C17" s="177" t="str">
        <f>'Таблица №10'!D15</f>
        <v>90</v>
      </c>
      <c r="D17" s="177">
        <f>'Таблица №10'!E15</f>
        <v>0</v>
      </c>
      <c r="E17" s="177">
        <f>'Таблица №10'!F15</f>
        <v>200</v>
      </c>
      <c r="F17" s="94">
        <f>SUBTOTAL(9,'Таблица №10'!G15)</f>
        <v>61.26120000000001</v>
      </c>
      <c r="G17" s="94">
        <f>SUBTOTAL(9,'Таблица №10'!H15)</f>
        <v>61.26120000000001</v>
      </c>
      <c r="H17" s="163">
        <f t="shared" si="0"/>
        <v>100</v>
      </c>
    </row>
    <row r="18" spans="1:8" ht="27.75" customHeight="1" hidden="1" outlineLevel="1">
      <c r="A18" s="78" t="str">
        <f>'Таблица №10'!A16</f>
        <v>Непрограммные расходы органов местного самоуправления Алексеевского муниципального района</v>
      </c>
      <c r="B18" s="177" t="str">
        <f>'Таблица №10'!C16</f>
        <v>0103</v>
      </c>
      <c r="C18" s="177" t="str">
        <f>'Таблица №10'!D16</f>
        <v>99</v>
      </c>
      <c r="D18" s="177">
        <f>'Таблица №10'!E16</f>
        <v>0</v>
      </c>
      <c r="E18" s="179"/>
      <c r="F18" s="94">
        <f>SUBTOTAL(9,'Таблица №10'!G16)</f>
        <v>0</v>
      </c>
      <c r="G18" s="94">
        <f>SUBTOTAL(9,'Таблица №10'!H16)</f>
        <v>0</v>
      </c>
      <c r="H18" s="163" t="e">
        <f t="shared" si="0"/>
        <v>#DIV/0!</v>
      </c>
    </row>
    <row r="19" spans="1:8" ht="12.75" hidden="1" outlineLevel="1">
      <c r="A19" s="78" t="str">
        <f>'Таблица №10'!A17</f>
        <v>Иные бюджетные ассигнования</v>
      </c>
      <c r="B19" s="177" t="str">
        <f>'Таблица №10'!C17</f>
        <v>0103</v>
      </c>
      <c r="C19" s="177" t="str">
        <f>'Таблица №10'!D17</f>
        <v>99</v>
      </c>
      <c r="D19" s="177">
        <f>'Таблица №10'!E17</f>
        <v>0</v>
      </c>
      <c r="E19" s="177">
        <f>'Таблица №10'!F17</f>
        <v>800</v>
      </c>
      <c r="F19" s="94">
        <f>SUBTOTAL(9,'Таблица №10'!G17)</f>
        <v>0</v>
      </c>
      <c r="G19" s="94">
        <f>SUBTOTAL(9,'Таблица №10'!H17)</f>
        <v>0</v>
      </c>
      <c r="H19" s="163" t="e">
        <f t="shared" si="0"/>
        <v>#DIV/0!</v>
      </c>
    </row>
    <row r="20" spans="1:8" ht="36" outlineLevel="2">
      <c r="A20" s="79" t="str">
        <f>'Таблица №10'!A31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178" t="str">
        <f>'Таблица №10'!C31</f>
        <v>0104</v>
      </c>
      <c r="C20" s="178"/>
      <c r="D20" s="178"/>
      <c r="E20" s="178"/>
      <c r="F20" s="94">
        <f>'Таблица №10'!G31</f>
        <v>33759.30369</v>
      </c>
      <c r="G20" s="94">
        <f>'Таблица №10'!H31</f>
        <v>33759.30369</v>
      </c>
      <c r="H20" s="163">
        <f t="shared" si="0"/>
        <v>100</v>
      </c>
    </row>
    <row r="21" spans="1:8" s="4" customFormat="1" ht="36" outlineLevel="3">
      <c r="A21" s="79" t="str">
        <f>'Таблица №10'!A32</f>
        <v>Непрограммные направления обеспечения деятельности органов местного самоуправления Алексеевского муниципального района</v>
      </c>
      <c r="B21" s="178" t="str">
        <f>'Таблица №10'!C32</f>
        <v>0104</v>
      </c>
      <c r="C21" s="178" t="str">
        <f>'Таблица №10'!D32</f>
        <v>90</v>
      </c>
      <c r="D21" s="178">
        <f>'Таблица №10'!E32</f>
        <v>0</v>
      </c>
      <c r="E21" s="178"/>
      <c r="F21" s="94">
        <f>'Таблица №10'!G32</f>
        <v>33728.81269</v>
      </c>
      <c r="G21" s="94">
        <f>'Таблица №10'!H32</f>
        <v>33728.81269</v>
      </c>
      <c r="H21" s="163">
        <f t="shared" si="0"/>
        <v>100</v>
      </c>
    </row>
    <row r="22" spans="1:8" s="4" customFormat="1" ht="12.75" outlineLevel="3">
      <c r="A22" s="79" t="str">
        <f>'Таблица №10'!A33</f>
        <v>Центральный аппарат</v>
      </c>
      <c r="B22" s="178" t="str">
        <f>'Таблица №10'!C33</f>
        <v>0104</v>
      </c>
      <c r="C22" s="178" t="str">
        <f>'Таблица №10'!D33</f>
        <v>90</v>
      </c>
      <c r="D22" s="178">
        <f>'Таблица №10'!E33</f>
        <v>0</v>
      </c>
      <c r="E22" s="178"/>
      <c r="F22" s="94">
        <f>'Таблица №10'!G33</f>
        <v>31625.71269</v>
      </c>
      <c r="G22" s="94">
        <f>'Таблица №10'!H33</f>
        <v>31625.71269</v>
      </c>
      <c r="H22" s="163">
        <f t="shared" si="0"/>
        <v>100</v>
      </c>
    </row>
    <row r="23" spans="1:8" s="4" customFormat="1" ht="48" outlineLevel="3">
      <c r="A23" s="79" t="str">
        <f>'Таблица №10'!A34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" s="178" t="str">
        <f>'Таблица №10'!C34</f>
        <v>0104</v>
      </c>
      <c r="C23" s="178" t="str">
        <f>'Таблица №10'!D34</f>
        <v>90</v>
      </c>
      <c r="D23" s="178">
        <f>'Таблица №10'!E34</f>
        <v>0</v>
      </c>
      <c r="E23" s="178">
        <f>'Таблица №10'!F34</f>
        <v>100</v>
      </c>
      <c r="F23" s="94">
        <f>'Таблица №10'!G34</f>
        <v>30065.61468</v>
      </c>
      <c r="G23" s="94">
        <f>'Таблица №10'!H34</f>
        <v>30065.61468</v>
      </c>
      <c r="H23" s="163">
        <f t="shared" si="0"/>
        <v>100</v>
      </c>
    </row>
    <row r="24" spans="1:8" ht="24" outlineLevel="1">
      <c r="A24" s="79" t="str">
        <f>'Таблица №10'!A35</f>
        <v>Закупка товаров, работ и услуг для государственных (муниципальных) нужд</v>
      </c>
      <c r="B24" s="178" t="str">
        <f>'Таблица №10'!C35</f>
        <v>0104</v>
      </c>
      <c r="C24" s="178" t="str">
        <f>'Таблица №10'!D35</f>
        <v>90</v>
      </c>
      <c r="D24" s="178">
        <f>'Таблица №10'!E35</f>
        <v>0</v>
      </c>
      <c r="E24" s="178">
        <f>'Таблица №10'!F35</f>
        <v>200</v>
      </c>
      <c r="F24" s="94">
        <f>'Таблица №10'!G35</f>
        <v>1560.09801</v>
      </c>
      <c r="G24" s="94">
        <f>'Таблица №10'!H35</f>
        <v>1560.09801</v>
      </c>
      <c r="H24" s="163">
        <f t="shared" si="0"/>
        <v>100</v>
      </c>
    </row>
    <row r="25" spans="1:8" ht="36" outlineLevel="2">
      <c r="A25" s="79" t="str">
        <f>'Таблица №10'!A36</f>
        <v>Непрограммные направления обеспечения деятельности органов местного самоуправления Алексеевского муниципального района</v>
      </c>
      <c r="B25" s="178" t="str">
        <f>'Таблица №10'!C36</f>
        <v>0104</v>
      </c>
      <c r="C25" s="178" t="str">
        <f>'Таблица №10'!D36</f>
        <v>90</v>
      </c>
      <c r="D25" s="178" t="str">
        <f>'Таблица №10'!E36</f>
        <v>0</v>
      </c>
      <c r="E25" s="178"/>
      <c r="F25" s="94">
        <f>'Таблица №10'!G36</f>
        <v>2103.1</v>
      </c>
      <c r="G25" s="94">
        <f>'Таблица №10'!H36</f>
        <v>2103.1</v>
      </c>
      <c r="H25" s="163">
        <f t="shared" si="0"/>
        <v>100</v>
      </c>
    </row>
    <row r="26" spans="1:8" ht="25.5" customHeight="1" outlineLevel="2">
      <c r="A26" s="79" t="str">
        <f>'Таблица №10'!A37</f>
        <v>За счет субвенции на организационное обеспечение деятельности территориальных административных комиссий</v>
      </c>
      <c r="B26" s="178" t="str">
        <f>'Таблица №10'!C37</f>
        <v>0104</v>
      </c>
      <c r="C26" s="178" t="str">
        <f>'Таблица №10'!D37</f>
        <v>90</v>
      </c>
      <c r="D26" s="178" t="str">
        <f>'Таблица №10'!E37</f>
        <v>0</v>
      </c>
      <c r="E26" s="178"/>
      <c r="F26" s="94">
        <f>'Таблица №10'!G37</f>
        <v>307.7</v>
      </c>
      <c r="G26" s="94">
        <f>'Таблица №10'!H37</f>
        <v>307.7</v>
      </c>
      <c r="H26" s="163">
        <f t="shared" si="0"/>
        <v>100</v>
      </c>
    </row>
    <row r="27" spans="1:8" ht="48.75" customHeight="1" collapsed="1">
      <c r="A27" s="79" t="str">
        <f>'Таблица №10'!A38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178" t="s">
        <v>40</v>
      </c>
      <c r="C27" s="178" t="s">
        <v>11</v>
      </c>
      <c r="D27" s="176">
        <v>0</v>
      </c>
      <c r="E27" s="177">
        <v>100</v>
      </c>
      <c r="F27" s="94">
        <f>'Таблица №10'!G38</f>
        <v>307.7</v>
      </c>
      <c r="G27" s="94">
        <f>'Таблица №10'!H38</f>
        <v>307.7</v>
      </c>
      <c r="H27" s="163">
        <f t="shared" si="0"/>
        <v>100</v>
      </c>
    </row>
    <row r="28" spans="1:8" ht="24" hidden="1" outlineLevel="1">
      <c r="A28" s="79" t="str">
        <f>'Таблица №10'!A39</f>
        <v>Закупка товаров, работ и услуг для государственных (муниципальных) нужд</v>
      </c>
      <c r="B28" s="178" t="str">
        <f>'Таблица №10'!C39</f>
        <v>0104</v>
      </c>
      <c r="C28" s="178" t="str">
        <f>'Таблица №10'!D39</f>
        <v>90</v>
      </c>
      <c r="D28" s="178" t="str">
        <f>'Таблица №10'!E39</f>
        <v>0</v>
      </c>
      <c r="E28" s="178">
        <f>'Таблица №10'!F39</f>
        <v>200</v>
      </c>
      <c r="F28" s="94">
        <f>'Таблица №10'!G39</f>
        <v>0</v>
      </c>
      <c r="G28" s="94">
        <f>'Таблица №10'!H39</f>
        <v>0</v>
      </c>
      <c r="H28" s="163" t="e">
        <f t="shared" si="0"/>
        <v>#DIV/0!</v>
      </c>
    </row>
    <row r="29" spans="1:8" ht="24" outlineLevel="2">
      <c r="A29" s="79" t="str">
        <f>'Таблица №10'!A40</f>
        <v>За счет субвенции на организацию и осуществление деятельности по опеке и попечительству</v>
      </c>
      <c r="B29" s="178" t="str">
        <f>'Таблица №10'!C40</f>
        <v>0104</v>
      </c>
      <c r="C29" s="178" t="str">
        <f>'Таблица №10'!D40</f>
        <v>90</v>
      </c>
      <c r="D29" s="178" t="str">
        <f>'Таблица №10'!E40</f>
        <v>0</v>
      </c>
      <c r="E29" s="178"/>
      <c r="F29" s="94">
        <f>'Таблица №10'!G40</f>
        <v>1003.4</v>
      </c>
      <c r="G29" s="94">
        <f>'Таблица №10'!H40</f>
        <v>1003.4</v>
      </c>
      <c r="H29" s="163">
        <f t="shared" si="0"/>
        <v>100</v>
      </c>
    </row>
    <row r="30" spans="1:8" ht="48" outlineLevel="1">
      <c r="A30" s="79" t="str">
        <f>'Таблица №10'!A41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0" s="178" t="str">
        <f>'Таблица №10'!C41</f>
        <v>0104</v>
      </c>
      <c r="C30" s="178" t="str">
        <f>'Таблица №10'!D41</f>
        <v>90</v>
      </c>
      <c r="D30" s="178" t="str">
        <f>'Таблица №10'!E41</f>
        <v>0</v>
      </c>
      <c r="E30" s="178">
        <f>'Таблица №10'!F41</f>
        <v>100</v>
      </c>
      <c r="F30" s="94">
        <f>'Таблица №10'!G41</f>
        <v>900.05175</v>
      </c>
      <c r="G30" s="94">
        <f>'Таблица №10'!H41</f>
        <v>900.05175</v>
      </c>
      <c r="H30" s="163">
        <f t="shared" si="0"/>
        <v>100</v>
      </c>
    </row>
    <row r="31" spans="1:8" ht="24" outlineLevel="5">
      <c r="A31" s="79" t="str">
        <f>'Таблица №10'!A42</f>
        <v>Закупка товаров, работ и услуг для государственных (муниципальных) нужд</v>
      </c>
      <c r="B31" s="178" t="str">
        <f>'Таблица №10'!C42</f>
        <v>0104</v>
      </c>
      <c r="C31" s="178" t="str">
        <f>'Таблица №10'!D42</f>
        <v>90</v>
      </c>
      <c r="D31" s="178" t="str">
        <f>'Таблица №10'!E42</f>
        <v>0</v>
      </c>
      <c r="E31" s="178">
        <f>'Таблица №10'!F42</f>
        <v>200</v>
      </c>
      <c r="F31" s="94">
        <f>'Таблица №10'!G42</f>
        <v>103.34825</v>
      </c>
      <c r="G31" s="94">
        <f>'Таблица №10'!H42</f>
        <v>103.34825</v>
      </c>
      <c r="H31" s="163">
        <f t="shared" si="0"/>
        <v>100</v>
      </c>
    </row>
    <row r="32" spans="1:8" ht="39.75" customHeight="1" outlineLevel="5">
      <c r="A32" s="79" t="str">
        <f>'Таблица №10'!A43</f>
        <v>За счет субвенции на создание, исполнение функций и обеспечение деятельности муниципальных комиссий по делам несовершеннолетних и защите их прав</v>
      </c>
      <c r="B32" s="178" t="str">
        <f>'Таблица №10'!C43</f>
        <v>0104</v>
      </c>
      <c r="C32" s="178" t="str">
        <f>'Таблица №10'!D43</f>
        <v>90</v>
      </c>
      <c r="D32" s="178" t="str">
        <f>'Таблица №10'!E43</f>
        <v>0</v>
      </c>
      <c r="E32" s="178"/>
      <c r="F32" s="94">
        <f>'Таблица №10'!G43</f>
        <v>328</v>
      </c>
      <c r="G32" s="94">
        <f>'Таблица №10'!H43</f>
        <v>328</v>
      </c>
      <c r="H32" s="163">
        <f t="shared" si="0"/>
        <v>100</v>
      </c>
    </row>
    <row r="33" spans="1:8" ht="48" outlineLevel="5">
      <c r="A33" s="79" t="str">
        <f>'Таблица №10'!A44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" s="178" t="str">
        <f>'Таблица №10'!C44</f>
        <v>0104</v>
      </c>
      <c r="C33" s="178" t="str">
        <f>'Таблица №10'!D44</f>
        <v>90</v>
      </c>
      <c r="D33" s="178" t="str">
        <f>'Таблица №10'!E44</f>
        <v>0</v>
      </c>
      <c r="E33" s="178">
        <f>'Таблица №10'!F44</f>
        <v>100</v>
      </c>
      <c r="F33" s="94">
        <f>'Таблица №10'!G44</f>
        <v>328</v>
      </c>
      <c r="G33" s="94">
        <f>'Таблица №10'!H44</f>
        <v>328</v>
      </c>
      <c r="H33" s="163">
        <f t="shared" si="0"/>
        <v>100</v>
      </c>
    </row>
    <row r="34" spans="1:8" ht="24" hidden="1" outlineLevel="2">
      <c r="A34" s="79" t="str">
        <f>'Таблица №10'!A45</f>
        <v>Закупка товаров, работ и услуг для государственных (муниципальных) нужд</v>
      </c>
      <c r="B34" s="178" t="str">
        <f>'Таблица №10'!C45</f>
        <v>0104</v>
      </c>
      <c r="C34" s="178" t="str">
        <f>'Таблица №10'!D45</f>
        <v>90</v>
      </c>
      <c r="D34" s="178" t="str">
        <f>'Таблица №10'!E45</f>
        <v>0</v>
      </c>
      <c r="E34" s="178">
        <f>'Таблица №10'!F45</f>
        <v>200</v>
      </c>
      <c r="F34" s="94">
        <f>'Таблица №10'!G45</f>
        <v>0</v>
      </c>
      <c r="G34" s="94">
        <f>'Таблица №10'!H45</f>
        <v>0</v>
      </c>
      <c r="H34" s="163" t="e">
        <f t="shared" si="0"/>
        <v>#DIV/0!</v>
      </c>
    </row>
    <row r="35" spans="1:8" ht="48" outlineLevel="4">
      <c r="A35" s="79" t="str">
        <f>'Таблица №10'!A46</f>
        <v>За счет субвенции на деятельность на хранение, комплектование, учет и использование архивных документов и архивных фондов, отнесенных к составу архивного фонда Волгоградской области</v>
      </c>
      <c r="B35" s="178" t="str">
        <f>'Таблица №10'!C46</f>
        <v>0104</v>
      </c>
      <c r="C35" s="178" t="str">
        <f>'Таблица №10'!D46</f>
        <v>90</v>
      </c>
      <c r="D35" s="178" t="str">
        <f>'Таблица №10'!E46</f>
        <v>0</v>
      </c>
      <c r="E35" s="178"/>
      <c r="F35" s="94">
        <f>'Таблица №10'!G46</f>
        <v>464</v>
      </c>
      <c r="G35" s="94">
        <f>'Таблица №10'!H46</f>
        <v>464</v>
      </c>
      <c r="H35" s="163">
        <f t="shared" si="0"/>
        <v>100</v>
      </c>
    </row>
    <row r="36" spans="1:8" ht="48" outlineLevel="4">
      <c r="A36" s="79" t="str">
        <f>'Таблица №10'!A47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6" s="178" t="str">
        <f>'Таблица №10'!C47</f>
        <v>0104</v>
      </c>
      <c r="C36" s="178" t="str">
        <f>'Таблица №10'!D47</f>
        <v>90</v>
      </c>
      <c r="D36" s="178" t="str">
        <f>'Таблица №10'!E47</f>
        <v>0</v>
      </c>
      <c r="E36" s="178">
        <f>'Таблица №10'!F47</f>
        <v>100</v>
      </c>
      <c r="F36" s="94">
        <f>'Таблица №10'!G47</f>
        <v>73.37799</v>
      </c>
      <c r="G36" s="94">
        <f>'Таблица №10'!H47</f>
        <v>73.37799</v>
      </c>
      <c r="H36" s="163">
        <f t="shared" si="0"/>
        <v>100</v>
      </c>
    </row>
    <row r="37" spans="1:8" ht="24" outlineLevel="5">
      <c r="A37" s="79" t="str">
        <f>'Таблица №10'!A48</f>
        <v>Закупка товаров, работ и услуг для государственных (муниципальных) нужд</v>
      </c>
      <c r="B37" s="178" t="str">
        <f>'Таблица №10'!C48</f>
        <v>0104</v>
      </c>
      <c r="C37" s="178" t="str">
        <f>'Таблица №10'!D48</f>
        <v>90</v>
      </c>
      <c r="D37" s="178" t="str">
        <f>'Таблица №10'!E48</f>
        <v>0</v>
      </c>
      <c r="E37" s="178">
        <f>'Таблица №10'!F48</f>
        <v>200</v>
      </c>
      <c r="F37" s="94">
        <f>'Таблица №10'!G48</f>
        <v>390.62201</v>
      </c>
      <c r="G37" s="94">
        <f>'Таблица №10'!H48</f>
        <v>390.62201</v>
      </c>
      <c r="H37" s="163">
        <f t="shared" si="0"/>
        <v>100</v>
      </c>
    </row>
    <row r="38" spans="1:8" ht="36" outlineLevel="4">
      <c r="A38" s="79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38" s="178" t="str">
        <f>'Таблица №10'!C49</f>
        <v>0104</v>
      </c>
      <c r="C38" s="178" t="str">
        <f>'Таблица №10'!D49</f>
        <v>01</v>
      </c>
      <c r="D38" s="178">
        <f>'Таблица №10'!E49</f>
        <v>0</v>
      </c>
      <c r="E38" s="178"/>
      <c r="F38" s="94">
        <f>'Таблица №10'!G49</f>
        <v>30.491</v>
      </c>
      <c r="G38" s="94">
        <f>'Таблица №10'!H49</f>
        <v>30.491</v>
      </c>
      <c r="H38" s="163">
        <f t="shared" si="0"/>
        <v>100</v>
      </c>
    </row>
    <row r="39" spans="1:8" ht="27" customHeight="1" outlineLevel="4">
      <c r="A39" s="79" t="str">
        <f>'Таблица №10'!A50</f>
        <v>Закупка товаров, работ и услуг для государственных (муниципальных) нужд</v>
      </c>
      <c r="B39" s="178" t="str">
        <f>'Таблица №10'!C50</f>
        <v>0104</v>
      </c>
      <c r="C39" s="178" t="str">
        <f>'Таблица №10'!D50</f>
        <v>01</v>
      </c>
      <c r="D39" s="178">
        <f>'Таблица №10'!E50</f>
        <v>0</v>
      </c>
      <c r="E39" s="178">
        <f>'Таблица №10'!F50</f>
        <v>200</v>
      </c>
      <c r="F39" s="94">
        <f>'Таблица №10'!G50</f>
        <v>30.491</v>
      </c>
      <c r="G39" s="94">
        <f>'Таблица №10'!H50</f>
        <v>30.491</v>
      </c>
      <c r="H39" s="163">
        <f t="shared" si="0"/>
        <v>100</v>
      </c>
    </row>
    <row r="40" spans="1:8" ht="12.75" outlineLevel="4">
      <c r="A40" s="79" t="str">
        <f>'Таблица №10'!A51</f>
        <v>Судебная система</v>
      </c>
      <c r="B40" s="178" t="str">
        <f>'Таблица №10'!C51</f>
        <v>0105</v>
      </c>
      <c r="C40" s="178"/>
      <c r="D40" s="178"/>
      <c r="E40" s="178"/>
      <c r="F40" s="94">
        <f>'Таблица №10'!G51</f>
        <v>62.2</v>
      </c>
      <c r="G40" s="94">
        <f>'Таблица №10'!H51</f>
        <v>62.2</v>
      </c>
      <c r="H40" s="163">
        <f t="shared" si="0"/>
        <v>100</v>
      </c>
    </row>
    <row r="41" spans="1:8" ht="36" outlineLevel="4">
      <c r="A41" s="79" t="str">
        <f>'Таблица №10'!A52</f>
        <v>Составление (изменение) списков кандидатов в присяжные заседатели федеральных судов общей юрисдикции в Российской Федерации</v>
      </c>
      <c r="B41" s="178" t="str">
        <f>'Таблица №10'!C52</f>
        <v>0105</v>
      </c>
      <c r="C41" s="178" t="str">
        <f>'Таблица №10'!D52</f>
        <v>99</v>
      </c>
      <c r="D41" s="178">
        <f>'Таблица №10'!E52</f>
        <v>0</v>
      </c>
      <c r="E41" s="178"/>
      <c r="F41" s="94">
        <f>'Таблица №10'!G52</f>
        <v>62.2</v>
      </c>
      <c r="G41" s="94">
        <f>'Таблица №10'!H52</f>
        <v>62.2</v>
      </c>
      <c r="H41" s="163">
        <f t="shared" si="0"/>
        <v>100</v>
      </c>
    </row>
    <row r="42" spans="1:8" ht="24" outlineLevel="4">
      <c r="A42" s="79" t="str">
        <f>'Таблица №10'!A53</f>
        <v>Непрограммные расходы органов местного самоуправления Алексеевского муниципального района</v>
      </c>
      <c r="B42" s="178" t="str">
        <f>'Таблица №10'!C53</f>
        <v>0105</v>
      </c>
      <c r="C42" s="178" t="str">
        <f>'Таблица №10'!D53</f>
        <v>99</v>
      </c>
      <c r="D42" s="178">
        <f>'Таблица №10'!E53</f>
        <v>0</v>
      </c>
      <c r="E42" s="178"/>
      <c r="F42" s="94">
        <f>'Таблица №10'!G53</f>
        <v>62.2</v>
      </c>
      <c r="G42" s="94">
        <f>'Таблица №10'!H53</f>
        <v>62.2</v>
      </c>
      <c r="H42" s="163">
        <f t="shared" si="0"/>
        <v>100</v>
      </c>
    </row>
    <row r="43" spans="1:8" ht="24" outlineLevel="4">
      <c r="A43" s="79" t="str">
        <f>'Таблица №10'!A54</f>
        <v>Закупка товаров, работ и услуг для государственных (муниципальных) нужд</v>
      </c>
      <c r="B43" s="178" t="str">
        <f>'Таблица №10'!C54</f>
        <v>0105</v>
      </c>
      <c r="C43" s="178" t="str">
        <f>'Таблица №10'!D54</f>
        <v>99</v>
      </c>
      <c r="D43" s="178">
        <f>'Таблица №10'!E54</f>
        <v>0</v>
      </c>
      <c r="E43" s="178">
        <f>'Таблица №10'!F54</f>
        <v>200</v>
      </c>
      <c r="F43" s="94">
        <f>'Таблица №10'!G54</f>
        <v>62.2</v>
      </c>
      <c r="G43" s="94">
        <f>'Таблица №10'!H54</f>
        <v>62.2</v>
      </c>
      <c r="H43" s="163">
        <f t="shared" si="0"/>
        <v>100</v>
      </c>
    </row>
    <row r="44" spans="1:8" ht="36" outlineLevel="2">
      <c r="A44" s="78" t="str">
        <f>'Таблица №10'!A20</f>
        <v>Обеспечение деятельности финансовых, налоговых и таможенных органов и органов финансового (финансово-бюджетного) надзора</v>
      </c>
      <c r="B44" s="178" t="str">
        <f>'Таблица №10'!C20</f>
        <v>0106</v>
      </c>
      <c r="C44" s="178"/>
      <c r="D44" s="178"/>
      <c r="E44" s="178"/>
      <c r="F44" s="94">
        <f>'Таблица №10'!G19</f>
        <v>1611.92499</v>
      </c>
      <c r="G44" s="94">
        <f>'Таблица №10'!H19</f>
        <v>1611.92499</v>
      </c>
      <c r="H44" s="163">
        <f t="shared" si="0"/>
        <v>100</v>
      </c>
    </row>
    <row r="45" spans="1:8" ht="36" outlineLevel="2">
      <c r="A45" s="78" t="str">
        <f>'Таблица №10'!A21</f>
        <v>Непрограммные направления обеспечения деятельности органов местного самоуправления Алексеевского муниципального района</v>
      </c>
      <c r="B45" s="178" t="str">
        <f>'Таблица №10'!C21</f>
        <v>0106</v>
      </c>
      <c r="C45" s="178" t="str">
        <f>'Таблица №10'!D21</f>
        <v>90</v>
      </c>
      <c r="D45" s="178" t="str">
        <f>'Таблица №10'!E21</f>
        <v>0</v>
      </c>
      <c r="E45" s="178"/>
      <c r="F45" s="94">
        <f>'Таблица №10'!G20</f>
        <v>1611.92499</v>
      </c>
      <c r="G45" s="94">
        <f>'Таблица №10'!H20</f>
        <v>1611.92499</v>
      </c>
      <c r="H45" s="163">
        <f t="shared" si="0"/>
        <v>100</v>
      </c>
    </row>
    <row r="46" spans="1:8" ht="48" outlineLevel="2">
      <c r="A46" s="78" t="str">
        <f>'Таблица №10'!A22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6" s="178" t="str">
        <f>'Таблица №10'!C22</f>
        <v>0106</v>
      </c>
      <c r="C46" s="178" t="str">
        <f>'Таблица №10'!D22</f>
        <v>90</v>
      </c>
      <c r="D46" s="178" t="str">
        <f>'Таблица №10'!E22</f>
        <v>0</v>
      </c>
      <c r="E46" s="178">
        <f>'Таблица №10'!F22</f>
        <v>100</v>
      </c>
      <c r="F46" s="94">
        <f>'Таблица №10'!G22</f>
        <v>1606.92499</v>
      </c>
      <c r="G46" s="94">
        <f>'Таблица №10'!H22</f>
        <v>1606.92499</v>
      </c>
      <c r="H46" s="163">
        <f t="shared" si="0"/>
        <v>100</v>
      </c>
    </row>
    <row r="47" spans="1:8" ht="24" outlineLevel="2">
      <c r="A47" s="78" t="str">
        <f>'Таблица №10'!A23</f>
        <v>Закупка товаров, работ и услуг для государственных (муниципальных) нужд</v>
      </c>
      <c r="B47" s="178" t="str">
        <f>'Таблица №10'!C23</f>
        <v>0106</v>
      </c>
      <c r="C47" s="178" t="str">
        <f>'Таблица №10'!D23</f>
        <v>90</v>
      </c>
      <c r="D47" s="178">
        <f>'Таблица №10'!E23</f>
        <v>0</v>
      </c>
      <c r="E47" s="178">
        <f>'Таблица №10'!F23</f>
        <v>200</v>
      </c>
      <c r="F47" s="94">
        <f>'Таблица №10'!G23</f>
        <v>0</v>
      </c>
      <c r="G47" s="94">
        <f>'Таблица №10'!H23</f>
        <v>0</v>
      </c>
      <c r="H47" s="163" t="e">
        <f t="shared" si="0"/>
        <v>#DIV/0!</v>
      </c>
    </row>
    <row r="48" spans="1:8" ht="28.5" customHeight="1" outlineLevel="2">
      <c r="A48" s="78" t="str">
        <f>'Таблица №10'!A24</f>
        <v>Непрограммные расходы органов местного самоуправления Алексеевского муниципального района</v>
      </c>
      <c r="B48" s="178" t="str">
        <f>'Таблица №10'!C24</f>
        <v>0106</v>
      </c>
      <c r="C48" s="178" t="str">
        <f>'Таблица №10'!D24</f>
        <v>99</v>
      </c>
      <c r="D48" s="178">
        <f>'Таблица №10'!E24</f>
        <v>0</v>
      </c>
      <c r="E48" s="178"/>
      <c r="F48" s="94">
        <f>'Таблица №10'!G24</f>
        <v>5</v>
      </c>
      <c r="G48" s="94">
        <f>'Таблица №10'!H24</f>
        <v>5</v>
      </c>
      <c r="H48" s="163">
        <f t="shared" si="0"/>
        <v>100</v>
      </c>
    </row>
    <row r="49" spans="1:8" ht="12.75" outlineLevel="2">
      <c r="A49" s="78" t="str">
        <f>'Таблица №10'!A25</f>
        <v>Иные бюджетные ассигнования</v>
      </c>
      <c r="B49" s="178" t="str">
        <f>'Таблица №10'!C25</f>
        <v>0106</v>
      </c>
      <c r="C49" s="178" t="str">
        <f>'Таблица №10'!D25</f>
        <v>99</v>
      </c>
      <c r="D49" s="178">
        <f>'Таблица №10'!E25</f>
        <v>0</v>
      </c>
      <c r="E49" s="178">
        <f>'Таблица №10'!F25</f>
        <v>800</v>
      </c>
      <c r="F49" s="94">
        <f>'Таблица №10'!G25</f>
        <v>5</v>
      </c>
      <c r="G49" s="94">
        <f>'Таблица №10'!H25</f>
        <v>5</v>
      </c>
      <c r="H49" s="163">
        <f t="shared" si="0"/>
        <v>100</v>
      </c>
    </row>
    <row r="50" spans="1:8" ht="1.5" customHeight="1" hidden="1" outlineLevel="2">
      <c r="A50" s="78" t="str">
        <f>'Таблица №10'!A55</f>
        <v>Обеспечение проведения выборов и референдумов</v>
      </c>
      <c r="B50" s="178" t="str">
        <f>'Таблица №10'!C55</f>
        <v>0107</v>
      </c>
      <c r="C50" s="178"/>
      <c r="D50" s="178"/>
      <c r="E50" s="178"/>
      <c r="F50" s="94">
        <f>'Таблица №10'!G55</f>
        <v>0</v>
      </c>
      <c r="G50" s="94">
        <f>'Таблица №10'!H55</f>
        <v>0</v>
      </c>
      <c r="H50" s="163" t="e">
        <f t="shared" si="0"/>
        <v>#DIV/0!</v>
      </c>
    </row>
    <row r="51" spans="1:8" ht="0.75" customHeight="1" hidden="1" outlineLevel="2">
      <c r="A51" s="78" t="str">
        <f>'Таблица №10'!A56</f>
        <v>Проведение выборов и референдумов</v>
      </c>
      <c r="B51" s="178" t="str">
        <f>'Таблица №10'!C56</f>
        <v>0107</v>
      </c>
      <c r="C51" s="178" t="str">
        <f>'Таблица №10'!D56</f>
        <v>99</v>
      </c>
      <c r="D51" s="178" t="str">
        <f>'Таблица №10'!E56</f>
        <v>0</v>
      </c>
      <c r="E51" s="178"/>
      <c r="F51" s="94">
        <f>'Таблица №10'!G56</f>
        <v>0</v>
      </c>
      <c r="G51" s="94">
        <f>'Таблица №10'!H56</f>
        <v>0</v>
      </c>
      <c r="H51" s="163" t="e">
        <f t="shared" si="0"/>
        <v>#DIV/0!</v>
      </c>
    </row>
    <row r="52" spans="1:8" ht="30" customHeight="1" hidden="1" outlineLevel="5">
      <c r="A52" s="78" t="str">
        <f>'Таблица №10'!A57</f>
        <v>Непрограммные расходы органов местного самоуправления Алексеевского муниципального района</v>
      </c>
      <c r="B52" s="178" t="str">
        <f>'Таблица №10'!C57</f>
        <v>0107</v>
      </c>
      <c r="C52" s="178" t="str">
        <f>'Таблица №10'!D57</f>
        <v>99</v>
      </c>
      <c r="D52" s="178" t="str">
        <f>'Таблица №10'!E57</f>
        <v>0</v>
      </c>
      <c r="E52" s="178"/>
      <c r="F52" s="94">
        <f>'Таблица №10'!G57</f>
        <v>0</v>
      </c>
      <c r="G52" s="94">
        <f>'Таблица №10'!H57</f>
        <v>0</v>
      </c>
      <c r="H52" s="163" t="e">
        <f t="shared" si="0"/>
        <v>#DIV/0!</v>
      </c>
    </row>
    <row r="53" spans="1:8" ht="24" hidden="1" outlineLevel="5">
      <c r="A53" s="78" t="str">
        <f>'Таблица №10'!A58</f>
        <v>Закупка товаров, работ и услуг для государственных (муниципальных) нужд</v>
      </c>
      <c r="B53" s="178" t="str">
        <f>'Таблица №10'!C58</f>
        <v>0107</v>
      </c>
      <c r="C53" s="178" t="str">
        <f>'Таблица №10'!D58</f>
        <v>99</v>
      </c>
      <c r="D53" s="178">
        <f>'Таблица №10'!E58</f>
        <v>0</v>
      </c>
      <c r="E53" s="178">
        <f>'Таблица №10'!F58</f>
        <v>200</v>
      </c>
      <c r="F53" s="94">
        <f>'Таблица №10'!G58</f>
        <v>0</v>
      </c>
      <c r="G53" s="94">
        <f>'Таблица №10'!H58</f>
        <v>0</v>
      </c>
      <c r="H53" s="163" t="e">
        <f t="shared" si="0"/>
        <v>#DIV/0!</v>
      </c>
    </row>
    <row r="54" spans="1:8" ht="12.75" outlineLevel="5">
      <c r="A54" s="78" t="str">
        <f>'Таблица №10'!A59</f>
        <v>Резервные фонды</v>
      </c>
      <c r="B54" s="178" t="str">
        <f>'Таблица №10'!C59</f>
        <v>0111</v>
      </c>
      <c r="C54" s="178"/>
      <c r="D54" s="178"/>
      <c r="E54" s="178"/>
      <c r="F54" s="94">
        <f>'Таблица №10'!G59</f>
        <v>0</v>
      </c>
      <c r="G54" s="94">
        <f>'Таблица №10'!H59</f>
        <v>0</v>
      </c>
      <c r="H54" s="163" t="e">
        <f t="shared" si="0"/>
        <v>#DIV/0!</v>
      </c>
    </row>
    <row r="55" spans="1:8" ht="28.5" customHeight="1" outlineLevel="1">
      <c r="A55" s="78" t="str">
        <f>'Таблица №10'!A60</f>
        <v>Непрограммные расходы органов местного самоуправления Алексеевского муниципального района</v>
      </c>
      <c r="B55" s="178" t="str">
        <f>'Таблица №10'!C60</f>
        <v>0111</v>
      </c>
      <c r="C55" s="178" t="str">
        <f>'Таблица №10'!D60</f>
        <v>99</v>
      </c>
      <c r="D55" s="178" t="str">
        <f>'Таблица №10'!E60</f>
        <v>0</v>
      </c>
      <c r="E55" s="178"/>
      <c r="F55" s="94">
        <f>'Таблица №10'!G60</f>
        <v>0</v>
      </c>
      <c r="G55" s="94">
        <f>'Таблица №10'!H60</f>
        <v>0</v>
      </c>
      <c r="H55" s="163" t="e">
        <f t="shared" si="0"/>
        <v>#DIV/0!</v>
      </c>
    </row>
    <row r="56" spans="1:8" ht="17.25" customHeight="1" outlineLevel="2">
      <c r="A56" s="78" t="str">
        <f>'Таблица №10'!A61</f>
        <v>Иные бюджетные ассигнования</v>
      </c>
      <c r="B56" s="178" t="str">
        <f>'Таблица №10'!C61</f>
        <v>0111</v>
      </c>
      <c r="C56" s="178" t="str">
        <f>'Таблица №10'!D61</f>
        <v>99</v>
      </c>
      <c r="D56" s="178" t="str">
        <f>'Таблица №10'!E61</f>
        <v>0</v>
      </c>
      <c r="E56" s="178">
        <f>'Таблица №10'!F61</f>
        <v>800</v>
      </c>
      <c r="F56" s="94">
        <f>'Таблица №10'!G61</f>
        <v>0</v>
      </c>
      <c r="G56" s="94">
        <f>'Таблица №10'!H61</f>
        <v>0</v>
      </c>
      <c r="H56" s="163" t="e">
        <f t="shared" si="0"/>
        <v>#DIV/0!</v>
      </c>
    </row>
    <row r="57" spans="1:8" ht="15" customHeight="1" outlineLevel="2">
      <c r="A57" s="78" t="str">
        <f>'Таблица №10'!A62</f>
        <v>Другие общегосударственные вопросы</v>
      </c>
      <c r="B57" s="178" t="str">
        <f>'Таблица №10'!C62</f>
        <v>0113</v>
      </c>
      <c r="C57" s="178"/>
      <c r="D57" s="178"/>
      <c r="E57" s="178"/>
      <c r="F57" s="94">
        <f>'Таблица №10'!G62</f>
        <v>51294.56864999999</v>
      </c>
      <c r="G57" s="94">
        <f>'Таблица №10'!H62</f>
        <v>51294.56864999999</v>
      </c>
      <c r="H57" s="163">
        <f t="shared" si="0"/>
        <v>100</v>
      </c>
    </row>
    <row r="58" spans="1:8" ht="36" outlineLevel="2">
      <c r="A58" s="78" t="str">
        <f>'Таблица №10'!A63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58" s="178" t="str">
        <f>'Таблица №10'!C63</f>
        <v>0113</v>
      </c>
      <c r="C58" s="178" t="str">
        <f>'Таблица №10'!D63</f>
        <v>02</v>
      </c>
      <c r="D58" s="178">
        <f>'Таблица №10'!E63</f>
        <v>0</v>
      </c>
      <c r="E58" s="178"/>
      <c r="F58" s="94">
        <f>'Таблица №10'!G63</f>
        <v>182.9678</v>
      </c>
      <c r="G58" s="94">
        <f>'Таблица №10'!H63</f>
        <v>182.9678</v>
      </c>
      <c r="H58" s="163">
        <f t="shared" si="0"/>
        <v>100</v>
      </c>
    </row>
    <row r="59" spans="1:8" ht="36" hidden="1" outlineLevel="2">
      <c r="A59" s="78" t="str">
        <f>'Таблица №10'!A64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59" s="178" t="str">
        <f>'Таблица №10'!C64</f>
        <v>0113</v>
      </c>
      <c r="C59" s="178" t="str">
        <f>'Таблица №10'!D64</f>
        <v>02</v>
      </c>
      <c r="D59" s="178">
        <f>'Таблица №10'!E64</f>
        <v>3</v>
      </c>
      <c r="E59" s="178"/>
      <c r="F59" s="94">
        <f>'Таблица №10'!G64</f>
        <v>0</v>
      </c>
      <c r="G59" s="94">
        <f>'Таблица №10'!H64</f>
        <v>0</v>
      </c>
      <c r="H59" s="163" t="e">
        <f t="shared" si="0"/>
        <v>#DIV/0!</v>
      </c>
    </row>
    <row r="60" spans="1:8" ht="24" hidden="1" outlineLevel="2">
      <c r="A60" s="78" t="str">
        <f>'Таблица №10'!A65</f>
        <v>Предоставление субсидий бюджетным, автономным учреждениям и иным некоммерческим организациям</v>
      </c>
      <c r="B60" s="178" t="str">
        <f>'Таблица №10'!C65</f>
        <v>0113</v>
      </c>
      <c r="C60" s="178" t="str">
        <f>'Таблица №10'!D65</f>
        <v>02</v>
      </c>
      <c r="D60" s="178">
        <f>'Таблица №10'!E65</f>
        <v>3</v>
      </c>
      <c r="E60" s="178" t="s">
        <v>190</v>
      </c>
      <c r="F60" s="94">
        <f>'Таблица №10'!G65</f>
        <v>0</v>
      </c>
      <c r="G60" s="94">
        <f>'Таблица №10'!H65</f>
        <v>0</v>
      </c>
      <c r="H60" s="163" t="e">
        <f t="shared" si="0"/>
        <v>#DIV/0!</v>
      </c>
    </row>
    <row r="61" spans="1:8" ht="40.5" customHeight="1" outlineLevel="2">
      <c r="A61" s="78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61" s="178" t="str">
        <f>'Таблица №10'!C66</f>
        <v>0113</v>
      </c>
      <c r="C61" s="178" t="str">
        <f>'Таблица №10'!D66</f>
        <v>02</v>
      </c>
      <c r="D61" s="178">
        <f>'Таблица №10'!E66</f>
        <v>4</v>
      </c>
      <c r="E61" s="178"/>
      <c r="F61" s="94">
        <f>'Таблица №10'!G66</f>
        <v>182.9678</v>
      </c>
      <c r="G61" s="94">
        <f>'Таблица №10'!H66</f>
        <v>182.9678</v>
      </c>
      <c r="H61" s="163">
        <f t="shared" si="0"/>
        <v>100</v>
      </c>
    </row>
    <row r="62" spans="1:8" ht="27" customHeight="1" outlineLevel="2">
      <c r="A62" s="78" t="str">
        <f>'Таблица №10'!A67</f>
        <v>Предоставление субсидий бюджетным, автономным учреждениям и иным некоммерческим организациям</v>
      </c>
      <c r="B62" s="178" t="str">
        <f>'Таблица №10'!C67</f>
        <v>0113</v>
      </c>
      <c r="C62" s="178" t="str">
        <f>'Таблица №10'!D67</f>
        <v>02</v>
      </c>
      <c r="D62" s="178">
        <f>'Таблица №10'!E67</f>
        <v>4</v>
      </c>
      <c r="E62" s="178">
        <f>'Таблица №10'!F67</f>
        <v>600</v>
      </c>
      <c r="F62" s="94">
        <f>'Таблица №10'!G67</f>
        <v>182.9678</v>
      </c>
      <c r="G62" s="94">
        <f>'Таблица №10'!H67</f>
        <v>182.9678</v>
      </c>
      <c r="H62" s="163">
        <f t="shared" si="0"/>
        <v>100</v>
      </c>
    </row>
    <row r="63" spans="1:8" ht="24" outlineLevel="2">
      <c r="A63" s="78" t="str">
        <f>'Таблица №10'!A68</f>
        <v>Муниципальная программа "Маршрут Победы на 2019-2023 годы"</v>
      </c>
      <c r="B63" s="178" t="str">
        <f>'Таблица №10'!C68</f>
        <v>0113</v>
      </c>
      <c r="C63" s="178" t="str">
        <f>'Таблица №10'!D68</f>
        <v>15</v>
      </c>
      <c r="D63" s="178">
        <f>'Таблица №10'!E68</f>
        <v>0</v>
      </c>
      <c r="E63" s="178"/>
      <c r="F63" s="94">
        <f>'Таблица №10'!G68</f>
        <v>189.991</v>
      </c>
      <c r="G63" s="94">
        <f>'Таблица №10'!H68</f>
        <v>189.991</v>
      </c>
      <c r="H63" s="163">
        <f t="shared" si="0"/>
        <v>100</v>
      </c>
    </row>
    <row r="64" spans="1:8" ht="24" outlineLevel="2">
      <c r="A64" s="78" t="str">
        <f>'Таблица №10'!A69</f>
        <v>Закупка товаров, работ и услуг для государственных (муниципальных) нужд</v>
      </c>
      <c r="B64" s="178" t="str">
        <f>'Таблица №10'!C69</f>
        <v>0113</v>
      </c>
      <c r="C64" s="178" t="str">
        <f>'Таблица №10'!D69</f>
        <v>15</v>
      </c>
      <c r="D64" s="178">
        <f>'Таблица №10'!E69</f>
        <v>0</v>
      </c>
      <c r="E64" s="178">
        <f>'Таблица №10'!F69</f>
        <v>200</v>
      </c>
      <c r="F64" s="94">
        <f>'Таблица №10'!G69</f>
        <v>171.991</v>
      </c>
      <c r="G64" s="94">
        <f>'Таблица №10'!H69</f>
        <v>171.991</v>
      </c>
      <c r="H64" s="163">
        <f t="shared" si="0"/>
        <v>100</v>
      </c>
    </row>
    <row r="65" spans="1:8" ht="17.25" customHeight="1" outlineLevel="2">
      <c r="A65" s="78" t="str">
        <f>'Таблица №10'!A70</f>
        <v>Социальное обеспечение и иные выплаты населению</v>
      </c>
      <c r="B65" s="178" t="str">
        <f>'Таблица №10'!C70</f>
        <v>0113</v>
      </c>
      <c r="C65" s="178" t="str">
        <f>'Таблица №10'!D70</f>
        <v>15</v>
      </c>
      <c r="D65" s="178">
        <f>'Таблица №10'!E70</f>
        <v>0</v>
      </c>
      <c r="E65" s="178">
        <f>'Таблица №10'!F70</f>
        <v>300</v>
      </c>
      <c r="F65" s="94">
        <f>'Таблица №10'!G70</f>
        <v>18</v>
      </c>
      <c r="G65" s="94">
        <f>'Таблица №10'!H70</f>
        <v>18</v>
      </c>
      <c r="H65" s="163">
        <f t="shared" si="0"/>
        <v>100</v>
      </c>
    </row>
    <row r="66" spans="1:8" ht="36" outlineLevel="2">
      <c r="A66" s="78" t="str">
        <f>'Таблица №10'!A71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6" s="178" t="str">
        <f>'Таблица №10'!C71</f>
        <v>0113</v>
      </c>
      <c r="C66" s="178" t="str">
        <f>'Таблица №10'!D71</f>
        <v>20</v>
      </c>
      <c r="D66" s="178">
        <f>'Таблица №10'!E71</f>
        <v>0</v>
      </c>
      <c r="E66" s="178"/>
      <c r="F66" s="94">
        <f>'Таблица №10'!G71</f>
        <v>0</v>
      </c>
      <c r="G66" s="94">
        <f>'Таблица №10'!H71</f>
        <v>0</v>
      </c>
      <c r="H66" s="163" t="e">
        <f t="shared" si="0"/>
        <v>#DIV/0!</v>
      </c>
    </row>
    <row r="67" spans="1:8" ht="15" customHeight="1" outlineLevel="2">
      <c r="A67" s="78" t="str">
        <f>'Таблица №10'!A72</f>
        <v>Подпрограмма "Профилактика правонарушений"</v>
      </c>
      <c r="B67" s="178" t="str">
        <f>'Таблица №10'!C72</f>
        <v>0113</v>
      </c>
      <c r="C67" s="178" t="str">
        <f>'Таблица №10'!D72</f>
        <v>20</v>
      </c>
      <c r="D67" s="178">
        <f>'Таблица №10'!E72</f>
        <v>1</v>
      </c>
      <c r="E67" s="178"/>
      <c r="F67" s="94">
        <f>'Таблица №10'!G72</f>
        <v>0</v>
      </c>
      <c r="G67" s="94">
        <f>'Таблица №10'!H72</f>
        <v>0</v>
      </c>
      <c r="H67" s="163" t="e">
        <f t="shared" si="0"/>
        <v>#DIV/0!</v>
      </c>
    </row>
    <row r="68" spans="1:8" ht="24" outlineLevel="2">
      <c r="A68" s="78" t="str">
        <f>'Таблица №10'!A73</f>
        <v>Закупка товаров, работ и услуг для государственных (муниципальных) нужд</v>
      </c>
      <c r="B68" s="178" t="str">
        <f>'Таблица №10'!C73</f>
        <v>0113</v>
      </c>
      <c r="C68" s="178" t="str">
        <f>'Таблица №10'!D73</f>
        <v>20</v>
      </c>
      <c r="D68" s="178">
        <f>'Таблица №10'!E73</f>
        <v>1</v>
      </c>
      <c r="E68" s="178">
        <f>'Таблица №10'!F73</f>
        <v>200</v>
      </c>
      <c r="F68" s="94">
        <f>'Таблица №10'!G73</f>
        <v>0</v>
      </c>
      <c r="G68" s="94">
        <f>'Таблица №10'!H73</f>
        <v>0</v>
      </c>
      <c r="H68" s="163" t="e">
        <f t="shared" si="0"/>
        <v>#DIV/0!</v>
      </c>
    </row>
    <row r="69" spans="1:8" ht="24" outlineLevel="2">
      <c r="A69" s="78" t="str">
        <f>'Таблица №10'!A74</f>
        <v>Подпрограмма "Формирование законопослушного поведения участников дорожного движения"</v>
      </c>
      <c r="B69" s="178" t="str">
        <f>'Таблица №10'!C74</f>
        <v>0113</v>
      </c>
      <c r="C69" s="178" t="str">
        <f>'Таблица №10'!D74</f>
        <v>20</v>
      </c>
      <c r="D69" s="178">
        <f>'Таблица №10'!E74</f>
        <v>2</v>
      </c>
      <c r="E69" s="178"/>
      <c r="F69" s="94">
        <f>'Таблица №10'!G74</f>
        <v>0</v>
      </c>
      <c r="G69" s="94">
        <f>'Таблица №10'!H74</f>
        <v>0</v>
      </c>
      <c r="H69" s="163" t="e">
        <f t="shared" si="0"/>
        <v>#DIV/0!</v>
      </c>
    </row>
    <row r="70" spans="1:8" ht="24" outlineLevel="2">
      <c r="A70" s="78" t="str">
        <f>'Таблица №10'!A75</f>
        <v>Закупка товаров, работ и услуг для государственных (муниципальных) нужд</v>
      </c>
      <c r="B70" s="178" t="str">
        <f>'Таблица №10'!C75</f>
        <v>0113</v>
      </c>
      <c r="C70" s="178" t="str">
        <f>'Таблица №10'!D75</f>
        <v>20</v>
      </c>
      <c r="D70" s="178">
        <f>'Таблица №10'!E75</f>
        <v>2</v>
      </c>
      <c r="E70" s="178">
        <f>'Таблица №10'!F75</f>
        <v>200</v>
      </c>
      <c r="F70" s="94">
        <f>'Таблица №10'!G75</f>
        <v>0</v>
      </c>
      <c r="G70" s="94">
        <f>'Таблица №10'!H75</f>
        <v>0</v>
      </c>
      <c r="H70" s="163" t="e">
        <f t="shared" si="0"/>
        <v>#DIV/0!</v>
      </c>
    </row>
    <row r="71" spans="1:8" ht="36" hidden="1" outlineLevel="2">
      <c r="A71" s="78" t="str">
        <f>'Таблица №10'!A76</f>
        <v>Муниципальная программа "Улучшение условий и охраны труда в Алексеевском муниципальном районе на 2017-2019 годы"</v>
      </c>
      <c r="B71" s="178" t="str">
        <f>'Таблица №10'!C76</f>
        <v>0113</v>
      </c>
      <c r="C71" s="178" t="str">
        <f>'Таблица №10'!D76</f>
        <v>21</v>
      </c>
      <c r="D71" s="178">
        <f>'Таблица №10'!E76</f>
        <v>0</v>
      </c>
      <c r="E71" s="178"/>
      <c r="F71" s="94">
        <f>'Таблица №10'!G76</f>
        <v>0</v>
      </c>
      <c r="G71" s="94">
        <f>'Таблица №10'!H76</f>
        <v>0</v>
      </c>
      <c r="H71" s="163" t="e">
        <f t="shared" si="0"/>
        <v>#DIV/0!</v>
      </c>
    </row>
    <row r="72" spans="1:8" ht="24" hidden="1" outlineLevel="2">
      <c r="A72" s="78" t="str">
        <f>'Таблица №10'!A77</f>
        <v>Закупка товаров, работ и услуг для государственных (муниципальных) нужд</v>
      </c>
      <c r="B72" s="178" t="str">
        <f>'Таблица №10'!C77</f>
        <v>0113</v>
      </c>
      <c r="C72" s="178" t="str">
        <f>'Таблица №10'!D77</f>
        <v>21</v>
      </c>
      <c r="D72" s="178">
        <f>'Таблица №10'!E77</f>
        <v>0</v>
      </c>
      <c r="E72" s="178">
        <f>'Таблица №10'!F77</f>
        <v>200</v>
      </c>
      <c r="F72" s="94">
        <f>'Таблица №10'!G77</f>
        <v>0</v>
      </c>
      <c r="G72" s="94">
        <f>'Таблица №10'!H77</f>
        <v>0</v>
      </c>
      <c r="H72" s="163" t="e">
        <f t="shared" si="0"/>
        <v>#DIV/0!</v>
      </c>
    </row>
    <row r="73" spans="1:8" ht="36" outlineLevel="2">
      <c r="A73" s="78" t="str">
        <f>'Таблица №10'!A78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178" t="str">
        <f>'Таблица №10'!C78</f>
        <v>0113</v>
      </c>
      <c r="C73" s="178" t="str">
        <f>'Таблица №10'!D78</f>
        <v>23</v>
      </c>
      <c r="D73" s="178">
        <f>'Таблица №10'!E78</f>
        <v>0</v>
      </c>
      <c r="E73" s="178"/>
      <c r="F73" s="94">
        <f>'Таблица №10'!G78</f>
        <v>0</v>
      </c>
      <c r="G73" s="94">
        <f>'Таблица №10'!H78</f>
        <v>0</v>
      </c>
      <c r="H73" s="163" t="e">
        <f t="shared" si="0"/>
        <v>#DIV/0!</v>
      </c>
    </row>
    <row r="74" spans="1:8" ht="24" outlineLevel="2">
      <c r="A74" s="78" t="str">
        <f>'Таблица №10'!A79</f>
        <v>Закупка товаров, работ и услуг для государственных (муниципальных) нужд</v>
      </c>
      <c r="B74" s="178" t="str">
        <f>'Таблица №10'!C79</f>
        <v>0113</v>
      </c>
      <c r="C74" s="178" t="str">
        <f>'Таблица №10'!D79</f>
        <v>23</v>
      </c>
      <c r="D74" s="178">
        <f>'Таблица №10'!E79</f>
        <v>0</v>
      </c>
      <c r="E74" s="178">
        <f>'Таблица №10'!F79</f>
        <v>200</v>
      </c>
      <c r="F74" s="94">
        <f>'Таблица №10'!G79</f>
        <v>0</v>
      </c>
      <c r="G74" s="94">
        <f>'Таблица №10'!H79</f>
        <v>0</v>
      </c>
      <c r="H74" s="163" t="e">
        <f aca="true" t="shared" si="1" ref="H74:H137">SUM(G74/F74)*100</f>
        <v>#DIV/0!</v>
      </c>
    </row>
    <row r="75" spans="1:8" ht="60" outlineLevel="2">
      <c r="A75" s="78" t="str">
        <f>'Таблица №10'!A80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75" s="178" t="str">
        <f>'Таблица №10'!C80</f>
        <v>0113</v>
      </c>
      <c r="C75" s="178" t="str">
        <f>'Таблица №10'!D80</f>
        <v>51</v>
      </c>
      <c r="D75" s="178">
        <f>'Таблица №10'!E80</f>
        <v>0</v>
      </c>
      <c r="E75" s="178"/>
      <c r="F75" s="94">
        <f>'Таблица №10'!G80</f>
        <v>48373.60228999999</v>
      </c>
      <c r="G75" s="94">
        <f>'Таблица №10'!H80</f>
        <v>48373.60228999999</v>
      </c>
      <c r="H75" s="163">
        <f t="shared" si="1"/>
        <v>100</v>
      </c>
    </row>
    <row r="76" spans="1:8" ht="24" outlineLevel="2">
      <c r="A76" s="78" t="str">
        <f>'Таблица №10'!A81</f>
        <v>Предоставление субсидий бюджетным, автономным учреждениям и иным некоммерческим организациям</v>
      </c>
      <c r="B76" s="178" t="str">
        <f>'Таблица №10'!C81</f>
        <v>0113</v>
      </c>
      <c r="C76" s="178" t="str">
        <f>'Таблица №10'!D81</f>
        <v>51</v>
      </c>
      <c r="D76" s="178">
        <f>'Таблица №10'!E81</f>
        <v>0</v>
      </c>
      <c r="E76" s="178">
        <f>'Таблица №10'!F81</f>
        <v>600</v>
      </c>
      <c r="F76" s="94">
        <f>'Таблица №10'!G81</f>
        <v>47422.20059999999</v>
      </c>
      <c r="G76" s="94">
        <f>'Таблица №10'!H81</f>
        <v>47422.20059999999</v>
      </c>
      <c r="H76" s="163">
        <f t="shared" si="1"/>
        <v>100</v>
      </c>
    </row>
    <row r="77" spans="1:8" ht="51.75" customHeight="1" outlineLevel="2">
      <c r="A77" s="78" t="str">
        <f>'Таблица №10'!A82</f>
        <v>Предоставление субсидий бюджетным, автономным учреждениям и иным некоммерческим организациям (мероприятия по обеспечению персонифицированного финансирования)</v>
      </c>
      <c r="B77" s="178" t="str">
        <f>'Таблица №10'!C82</f>
        <v>0113</v>
      </c>
      <c r="C77" s="178" t="str">
        <f>'Таблица №10'!D82</f>
        <v>51</v>
      </c>
      <c r="D77" s="178">
        <f>'Таблица №10'!E82</f>
        <v>0</v>
      </c>
      <c r="E77" s="178">
        <f>'Таблица №10'!F82</f>
        <v>600</v>
      </c>
      <c r="F77" s="94">
        <f>'Таблица №10'!G82</f>
        <v>951.40169</v>
      </c>
      <c r="G77" s="94">
        <f>'Таблица №10'!H82</f>
        <v>951.40169</v>
      </c>
      <c r="H77" s="163">
        <f t="shared" si="1"/>
        <v>100</v>
      </c>
    </row>
    <row r="78" spans="1:8" ht="12.75" outlineLevel="2">
      <c r="A78" s="78" t="str">
        <f>'Таблица №10'!A83</f>
        <v>Государственная регистрация актов гражданского состояния</v>
      </c>
      <c r="B78" s="178" t="str">
        <f>'Таблица №10'!C83</f>
        <v>0113</v>
      </c>
      <c r="C78" s="178">
        <f>'Таблица №10'!D83</f>
        <v>0</v>
      </c>
      <c r="D78" s="178">
        <f>'Таблица №10'!E83</f>
        <v>0</v>
      </c>
      <c r="E78" s="178"/>
      <c r="F78" s="94">
        <f>'Таблица №10'!G83</f>
        <v>925.8000000000001</v>
      </c>
      <c r="G78" s="94">
        <f>'Таблица №10'!H83</f>
        <v>925.8000000000001</v>
      </c>
      <c r="H78" s="163">
        <f t="shared" si="1"/>
        <v>100</v>
      </c>
    </row>
    <row r="79" spans="1:8" ht="36" outlineLevel="2">
      <c r="A79" s="78" t="str">
        <f>'Таблица №10'!A84</f>
        <v>Непрограммные направления обеспечения деятельности органов местного самоуправления Алексеевского муниципального района</v>
      </c>
      <c r="B79" s="178" t="str">
        <f>'Таблица №10'!C84</f>
        <v>0113</v>
      </c>
      <c r="C79" s="178" t="str">
        <f>'Таблица №10'!D84</f>
        <v>90</v>
      </c>
      <c r="D79" s="178">
        <f>'Таблица №10'!E84</f>
        <v>0</v>
      </c>
      <c r="E79" s="178"/>
      <c r="F79" s="94">
        <f>'Таблица №10'!G84</f>
        <v>925.8000000000001</v>
      </c>
      <c r="G79" s="94">
        <f>'Таблица №10'!H84</f>
        <v>925.8000000000001</v>
      </c>
      <c r="H79" s="163">
        <f t="shared" si="1"/>
        <v>100</v>
      </c>
    </row>
    <row r="80" spans="1:8" ht="48" outlineLevel="2">
      <c r="A80" s="78" t="str">
        <f>'Таблица №10'!A85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0" s="178" t="str">
        <f>'Таблица №10'!C85</f>
        <v>0113</v>
      </c>
      <c r="C80" s="178" t="str">
        <f>'Таблица №10'!D85</f>
        <v>90</v>
      </c>
      <c r="D80" s="178" t="str">
        <f>'Таблица №10'!E85</f>
        <v>0</v>
      </c>
      <c r="E80" s="178">
        <f>'Таблица №10'!F85</f>
        <v>100</v>
      </c>
      <c r="F80" s="94">
        <f>'Таблица №10'!G85</f>
        <v>820.1506</v>
      </c>
      <c r="G80" s="94">
        <f>'Таблица №10'!H85</f>
        <v>820.1506</v>
      </c>
      <c r="H80" s="163">
        <f t="shared" si="1"/>
        <v>100</v>
      </c>
    </row>
    <row r="81" spans="1:8" ht="24" outlineLevel="2">
      <c r="A81" s="78" t="str">
        <f>'Таблица №10'!A86</f>
        <v>Закупка товаров, работ и услуг для государственных (муниципальных) нужд</v>
      </c>
      <c r="B81" s="178" t="str">
        <f>'Таблица №10'!C86</f>
        <v>0113</v>
      </c>
      <c r="C81" s="178" t="str">
        <f>'Таблица №10'!D86</f>
        <v>90</v>
      </c>
      <c r="D81" s="178" t="str">
        <f>'Таблица №10'!E86</f>
        <v>0</v>
      </c>
      <c r="E81" s="178">
        <f>'Таблица №10'!F86</f>
        <v>200</v>
      </c>
      <c r="F81" s="94">
        <f>'Таблица №10'!G86</f>
        <v>105.64939999999999</v>
      </c>
      <c r="G81" s="94">
        <f>'Таблица №10'!H86</f>
        <v>105.64939999999999</v>
      </c>
      <c r="H81" s="163">
        <f t="shared" si="1"/>
        <v>100</v>
      </c>
    </row>
    <row r="82" spans="1:8" ht="26.25" customHeight="1" outlineLevel="2">
      <c r="A82" s="78" t="str">
        <f>'Таблица №10'!A87</f>
        <v>Оценка недвижимости, признание прав и регулирование отношений по муниципальной собственности</v>
      </c>
      <c r="B82" s="178" t="str">
        <f>'Таблица №10'!C87</f>
        <v>0113</v>
      </c>
      <c r="C82" s="178" t="str">
        <f>'Таблица №10'!D87</f>
        <v>99</v>
      </c>
      <c r="D82" s="178">
        <f>'Таблица №10'!E87</f>
        <v>0</v>
      </c>
      <c r="E82" s="178"/>
      <c r="F82" s="94">
        <f>'Таблица №10'!G87</f>
        <v>15.599999999999994</v>
      </c>
      <c r="G82" s="94">
        <f>'Таблица №10'!H87</f>
        <v>15.599999999999994</v>
      </c>
      <c r="H82" s="163">
        <f t="shared" si="1"/>
        <v>100</v>
      </c>
    </row>
    <row r="83" spans="1:8" ht="24.75" customHeight="1" outlineLevel="2">
      <c r="A83" s="78" t="str">
        <f>'Таблица №10'!A88</f>
        <v>Непрограммные расходы органов местного самоуправления Алексеевского муниципального района</v>
      </c>
      <c r="B83" s="178" t="str">
        <f>'Таблица №10'!C88</f>
        <v>0113</v>
      </c>
      <c r="C83" s="178" t="str">
        <f>'Таблица №10'!D88</f>
        <v>99</v>
      </c>
      <c r="D83" s="178" t="str">
        <f>'Таблица №10'!E88</f>
        <v>0</v>
      </c>
      <c r="E83" s="178"/>
      <c r="F83" s="94">
        <f>'Таблица №10'!G88</f>
        <v>15.599999999999994</v>
      </c>
      <c r="G83" s="94">
        <f>'Таблица №10'!H88</f>
        <v>15.599999999999994</v>
      </c>
      <c r="H83" s="163">
        <f t="shared" si="1"/>
        <v>100</v>
      </c>
    </row>
    <row r="84" spans="1:8" ht="24.75" customHeight="1" outlineLevel="2">
      <c r="A84" s="78" t="str">
        <f>'Таблица №10'!A89</f>
        <v>Закупка товаров, работ и услуг для государственных (муниципальных) нужд</v>
      </c>
      <c r="B84" s="178" t="str">
        <f>'Таблица №10'!C89</f>
        <v>0113</v>
      </c>
      <c r="C84" s="178" t="str">
        <f>'Таблица №10'!D89</f>
        <v>99</v>
      </c>
      <c r="D84" s="178" t="str">
        <f>'Таблица №10'!E89</f>
        <v>0</v>
      </c>
      <c r="E84" s="178">
        <f>'Таблица №10'!F89</f>
        <v>200</v>
      </c>
      <c r="F84" s="94">
        <f>'Таблица №10'!G89</f>
        <v>15.599999999999994</v>
      </c>
      <c r="G84" s="94">
        <f>'Таблица №10'!H89</f>
        <v>15.599999999999994</v>
      </c>
      <c r="H84" s="163">
        <f t="shared" si="1"/>
        <v>100</v>
      </c>
    </row>
    <row r="85" spans="1:8" ht="24" outlineLevel="5">
      <c r="A85" s="78" t="str">
        <f>'Таблица №10'!A90</f>
        <v>Реализация государственных функций, связанных с общегосударственным управлением</v>
      </c>
      <c r="B85" s="178" t="str">
        <f>'Таблица №10'!C90</f>
        <v>0113</v>
      </c>
      <c r="C85" s="178" t="str">
        <f>'Таблица №10'!D90</f>
        <v>99</v>
      </c>
      <c r="D85" s="178">
        <f>'Таблица №10'!E90</f>
        <v>0</v>
      </c>
      <c r="E85" s="178"/>
      <c r="F85" s="94">
        <f>'Таблица №10'!G90</f>
        <v>1606.6075599999988</v>
      </c>
      <c r="G85" s="94">
        <f>'Таблица №10'!H90</f>
        <v>1606.6075599999988</v>
      </c>
      <c r="H85" s="163">
        <f t="shared" si="1"/>
        <v>100</v>
      </c>
    </row>
    <row r="86" spans="1:8" ht="25.5" customHeight="1" outlineLevel="5">
      <c r="A86" s="78" t="str">
        <f>'Таблица №10'!A91</f>
        <v>Непрограммные расходы органов местного самоуправления Алексеевского муниципального района</v>
      </c>
      <c r="B86" s="178" t="str">
        <f>'Таблица №10'!C91</f>
        <v>0113</v>
      </c>
      <c r="C86" s="178" t="str">
        <f>'Таблица №10'!D91</f>
        <v>99</v>
      </c>
      <c r="D86" s="178" t="str">
        <f>'Таблица №10'!E91</f>
        <v>0</v>
      </c>
      <c r="E86" s="178"/>
      <c r="F86" s="94">
        <f>'Таблица №10'!G91</f>
        <v>1606.6075599999988</v>
      </c>
      <c r="G86" s="94">
        <f>'Таблица №10'!H91</f>
        <v>1606.6075599999988</v>
      </c>
      <c r="H86" s="163">
        <f t="shared" si="1"/>
        <v>100</v>
      </c>
    </row>
    <row r="87" spans="1:8" ht="25.5" customHeight="1" outlineLevel="5">
      <c r="A87" s="78" t="str">
        <f>'Таблица №10'!A92</f>
        <v>Закупка товаров, работ и услуг для государственных (муниципальных) нужд</v>
      </c>
      <c r="B87" s="178" t="str">
        <f>'Таблица №10'!C92</f>
        <v>0113</v>
      </c>
      <c r="C87" s="178" t="str">
        <f>'Таблица №10'!D92</f>
        <v>99</v>
      </c>
      <c r="D87" s="178">
        <f>'Таблица №10'!E92</f>
        <v>0</v>
      </c>
      <c r="E87" s="178"/>
      <c r="F87" s="94">
        <f>'Таблица №10'!G92</f>
        <v>275.13838999999865</v>
      </c>
      <c r="G87" s="94">
        <f>'Таблица №10'!H92</f>
        <v>275.13838999999865</v>
      </c>
      <c r="H87" s="163">
        <f t="shared" si="1"/>
        <v>100</v>
      </c>
    </row>
    <row r="88" spans="1:8" ht="12.75" outlineLevel="5">
      <c r="A88" s="78" t="str">
        <f>'Таблица №10'!A93</f>
        <v>Иные бюджетные ассигнования</v>
      </c>
      <c r="B88" s="178" t="str">
        <f>'Таблица №10'!C93</f>
        <v>0113</v>
      </c>
      <c r="C88" s="178" t="str">
        <f>'Таблица №10'!D93</f>
        <v>99</v>
      </c>
      <c r="D88" s="178">
        <f>'Таблица №10'!E93</f>
        <v>0</v>
      </c>
      <c r="E88" s="178">
        <f>'Таблица №10'!F93</f>
        <v>800</v>
      </c>
      <c r="F88" s="94">
        <f>'Таблица №10'!G93</f>
        <v>1331.46917</v>
      </c>
      <c r="G88" s="94">
        <f>'Таблица №10'!H93</f>
        <v>1331.46917</v>
      </c>
      <c r="H88" s="163">
        <f t="shared" si="1"/>
        <v>100</v>
      </c>
    </row>
    <row r="89" spans="1:8" ht="24" hidden="1" outlineLevel="5">
      <c r="A89" s="78" t="str">
        <f>'Таблица №10'!A94</f>
        <v>Осуществление полномочий по подготовке и проведению Всероссийской переписи населения 2020 года на 2021 год</v>
      </c>
      <c r="B89" s="178" t="str">
        <f>'Таблица №10'!C94</f>
        <v>0113</v>
      </c>
      <c r="C89" s="178" t="str">
        <f>'Таблица №10'!D94</f>
        <v>99</v>
      </c>
      <c r="D89" s="178">
        <f>'Таблица №10'!E94</f>
        <v>0</v>
      </c>
      <c r="E89" s="178"/>
      <c r="F89" s="94">
        <f>'Таблица №10'!G94</f>
        <v>0</v>
      </c>
      <c r="G89" s="94">
        <f>'Таблица №10'!H94</f>
        <v>0</v>
      </c>
      <c r="H89" s="163" t="e">
        <f t="shared" si="1"/>
        <v>#DIV/0!</v>
      </c>
    </row>
    <row r="90" spans="1:8" ht="24" hidden="1" outlineLevel="5">
      <c r="A90" s="78" t="str">
        <f>'Таблица №10'!A95</f>
        <v>Непрограммные расходы органов местного самоуправления Алексеевского муниципального района</v>
      </c>
      <c r="B90" s="178" t="str">
        <f>'Таблица №10'!C95</f>
        <v>0113</v>
      </c>
      <c r="C90" s="178" t="str">
        <f>'Таблица №10'!D95</f>
        <v>99</v>
      </c>
      <c r="D90" s="178" t="str">
        <f>'Таблица №10'!E95</f>
        <v>0</v>
      </c>
      <c r="E90" s="178"/>
      <c r="F90" s="94">
        <f>'Таблица №10'!G95</f>
        <v>0</v>
      </c>
      <c r="G90" s="94">
        <f>'Таблица №10'!H95</f>
        <v>0</v>
      </c>
      <c r="H90" s="163" t="e">
        <f t="shared" si="1"/>
        <v>#DIV/0!</v>
      </c>
    </row>
    <row r="91" spans="1:8" ht="24" hidden="1" outlineLevel="5">
      <c r="A91" s="78" t="str">
        <f>'Таблица №10'!A96</f>
        <v>Закупка товаров, работ и услуг для государственных (муниципальных) нужд</v>
      </c>
      <c r="B91" s="178" t="str">
        <f>'Таблица №10'!C96</f>
        <v>0113</v>
      </c>
      <c r="C91" s="178" t="str">
        <f>'Таблица №10'!D96</f>
        <v>99</v>
      </c>
      <c r="D91" s="178">
        <f>'Таблица №10'!E96</f>
        <v>0</v>
      </c>
      <c r="E91" s="178">
        <f>'Таблица №10'!F96</f>
        <v>200</v>
      </c>
      <c r="F91" s="94">
        <f>'Таблица №10'!G96</f>
        <v>0</v>
      </c>
      <c r="G91" s="94">
        <f>'Таблица №10'!H96</f>
        <v>0</v>
      </c>
      <c r="H91" s="163" t="e">
        <f t="shared" si="1"/>
        <v>#DIV/0!</v>
      </c>
    </row>
    <row r="92" spans="1:8" ht="12.75" outlineLevel="5">
      <c r="A92" s="78" t="str">
        <f>'Таблица №10'!A97</f>
        <v>Условно утвержденные расходы</v>
      </c>
      <c r="B92" s="178" t="str">
        <f>'Таблица №10'!C97</f>
        <v>0113</v>
      </c>
      <c r="C92" s="178" t="str">
        <f>'Таблица №10'!D97</f>
        <v>99</v>
      </c>
      <c r="D92" s="178">
        <f>'Таблица №10'!E97</f>
        <v>0</v>
      </c>
      <c r="E92" s="178" t="s">
        <v>145</v>
      </c>
      <c r="F92" s="94">
        <f>'Таблица №10'!G97</f>
        <v>0</v>
      </c>
      <c r="G92" s="94">
        <f>'Таблица №10'!H97</f>
        <v>0</v>
      </c>
      <c r="H92" s="163" t="e">
        <f t="shared" si="1"/>
        <v>#DIV/0!</v>
      </c>
    </row>
    <row r="93" spans="1:8" ht="12.75" outlineLevel="5">
      <c r="A93" s="78" t="str">
        <f>'Таблица №10'!A98</f>
        <v>Национальная оборона </v>
      </c>
      <c r="B93" s="178" t="str">
        <f>'Таблица №10'!C98</f>
        <v>0200</v>
      </c>
      <c r="C93" s="178"/>
      <c r="D93" s="178"/>
      <c r="E93" s="178"/>
      <c r="F93" s="94">
        <f>'Таблица №10'!G98</f>
        <v>2.9130000000000003</v>
      </c>
      <c r="G93" s="94">
        <f>'Таблица №10'!H98</f>
        <v>2.9130000000000003</v>
      </c>
      <c r="H93" s="163">
        <f t="shared" si="1"/>
        <v>100</v>
      </c>
    </row>
    <row r="94" spans="1:8" ht="12.75" outlineLevel="5">
      <c r="A94" s="78" t="str">
        <f>'Таблица №10'!A99</f>
        <v>Мобилизационная подготовка экономики</v>
      </c>
      <c r="B94" s="178" t="str">
        <f>'Таблица №10'!C99</f>
        <v>0204</v>
      </c>
      <c r="C94" s="178"/>
      <c r="D94" s="178"/>
      <c r="E94" s="178"/>
      <c r="F94" s="94">
        <f>'Таблица №10'!G99</f>
        <v>2.9130000000000003</v>
      </c>
      <c r="G94" s="94">
        <f>'Таблица №10'!H99</f>
        <v>2.9130000000000003</v>
      </c>
      <c r="H94" s="163">
        <f t="shared" si="1"/>
        <v>100</v>
      </c>
    </row>
    <row r="95" spans="1:8" ht="24" outlineLevel="2">
      <c r="A95" s="78" t="str">
        <f>'Таблица №10'!A100</f>
        <v>Мероприятия по обеспечению мобилизационной готовности экономики</v>
      </c>
      <c r="B95" s="178" t="str">
        <f>'Таблица №10'!C100</f>
        <v>0204</v>
      </c>
      <c r="C95" s="178"/>
      <c r="D95" s="178"/>
      <c r="E95" s="178"/>
      <c r="F95" s="94">
        <f>'Таблица №10'!G100</f>
        <v>2.9130000000000003</v>
      </c>
      <c r="G95" s="94">
        <f>'Таблица №10'!H100</f>
        <v>2.9130000000000003</v>
      </c>
      <c r="H95" s="163">
        <f t="shared" si="1"/>
        <v>100</v>
      </c>
    </row>
    <row r="96" spans="1:8" ht="24.75" customHeight="1" outlineLevel="5">
      <c r="A96" s="78" t="str">
        <f>'Таблица №10'!A101</f>
        <v>Непрограммные расходы органов местного самоуправления Алексеевского муниципального района</v>
      </c>
      <c r="B96" s="178" t="str">
        <f>'Таблица №10'!C101</f>
        <v>0204</v>
      </c>
      <c r="C96" s="178" t="str">
        <f>'Таблица №10'!D101</f>
        <v>99</v>
      </c>
      <c r="D96" s="178">
        <f>'Таблица №10'!E101</f>
        <v>0</v>
      </c>
      <c r="E96" s="178"/>
      <c r="F96" s="94">
        <f>'Таблица №10'!G101</f>
        <v>2.9130000000000003</v>
      </c>
      <c r="G96" s="94">
        <f>'Таблица №10'!H101</f>
        <v>2.9130000000000003</v>
      </c>
      <c r="H96" s="163">
        <f t="shared" si="1"/>
        <v>100</v>
      </c>
    </row>
    <row r="97" spans="1:8" ht="24.75" customHeight="1" outlineLevel="5">
      <c r="A97" s="78" t="str">
        <f>'Таблица №10'!A102</f>
        <v>Закупка товаров, работ и услуг для государственных (муниципальных) нужд</v>
      </c>
      <c r="B97" s="178" t="str">
        <f>'Таблица №10'!C102</f>
        <v>0204</v>
      </c>
      <c r="C97" s="178" t="str">
        <f>'Таблица №10'!D102</f>
        <v>99</v>
      </c>
      <c r="D97" s="178">
        <f>'Таблица №10'!E102</f>
        <v>0</v>
      </c>
      <c r="E97" s="178">
        <f>'Таблица №10'!F102</f>
        <v>200</v>
      </c>
      <c r="F97" s="94">
        <f>'Таблица №10'!G102</f>
        <v>2.9130000000000003</v>
      </c>
      <c r="G97" s="94">
        <f>'Таблица №10'!H102</f>
        <v>2.9130000000000003</v>
      </c>
      <c r="H97" s="163">
        <f t="shared" si="1"/>
        <v>100</v>
      </c>
    </row>
    <row r="98" spans="1:8" ht="24" outlineLevel="5">
      <c r="A98" s="78" t="str">
        <f>'Таблица №10'!A103</f>
        <v>Национальная безопасность и правоохранительная деятельность</v>
      </c>
      <c r="B98" s="178" t="str">
        <f>'Таблица №10'!C103</f>
        <v>0300</v>
      </c>
      <c r="C98" s="178"/>
      <c r="D98" s="178"/>
      <c r="E98" s="178"/>
      <c r="F98" s="94">
        <f>'Таблица №10'!G103</f>
        <v>50</v>
      </c>
      <c r="G98" s="94">
        <f>'Таблица №10'!H103</f>
        <v>50</v>
      </c>
      <c r="H98" s="163">
        <f t="shared" si="1"/>
        <v>100</v>
      </c>
    </row>
    <row r="99" spans="1:8" ht="12.75" outlineLevel="5">
      <c r="A99" s="78" t="str">
        <f>'Таблица №10'!A104</f>
        <v>Гражданская оборона</v>
      </c>
      <c r="B99" s="178" t="str">
        <f>'Таблица №10'!C104</f>
        <v>0309</v>
      </c>
      <c r="C99" s="178"/>
      <c r="D99" s="178"/>
      <c r="E99" s="178"/>
      <c r="F99" s="94">
        <f>'Таблица №10'!G104</f>
        <v>0</v>
      </c>
      <c r="G99" s="94">
        <f>'Таблица №10'!H104</f>
        <v>0</v>
      </c>
      <c r="H99" s="163" t="e">
        <f t="shared" si="1"/>
        <v>#DIV/0!</v>
      </c>
    </row>
    <row r="100" spans="1:8" ht="24" outlineLevel="5">
      <c r="A100" s="78" t="str">
        <f>'Таблица №10'!A105</f>
        <v>Непрограммные расходы органов местного самоуправления Алексеевского муниципального района</v>
      </c>
      <c r="B100" s="178" t="str">
        <f>'Таблица №10'!C105</f>
        <v>0309</v>
      </c>
      <c r="C100" s="178" t="str">
        <f>'Таблица №10'!D105</f>
        <v>99</v>
      </c>
      <c r="D100" s="178">
        <f>'Таблица №10'!E105</f>
        <v>0</v>
      </c>
      <c r="E100" s="178"/>
      <c r="F100" s="94">
        <f>'Таблица №10'!G105</f>
        <v>0</v>
      </c>
      <c r="G100" s="94">
        <f>'Таблица №10'!H105</f>
        <v>0</v>
      </c>
      <c r="H100" s="163" t="e">
        <f t="shared" si="1"/>
        <v>#DIV/0!</v>
      </c>
    </row>
    <row r="101" spans="1:8" ht="24" outlineLevel="5">
      <c r="A101" s="78" t="str">
        <f>'Таблица №10'!A106</f>
        <v>Закупка товаров, работ и услуг для государственных (муниципальных) нужд</v>
      </c>
      <c r="B101" s="178" t="str">
        <f>'Таблица №10'!C106</f>
        <v>0309</v>
      </c>
      <c r="C101" s="178" t="str">
        <f>'Таблица №10'!D106</f>
        <v>99</v>
      </c>
      <c r="D101" s="178">
        <f>'Таблица №10'!E106</f>
        <v>0</v>
      </c>
      <c r="E101" s="178">
        <f>'Таблица №10'!F106</f>
        <v>200</v>
      </c>
      <c r="F101" s="94">
        <f>'Таблица №10'!G106</f>
        <v>0</v>
      </c>
      <c r="G101" s="94">
        <f>'Таблица №10'!H106</f>
        <v>0</v>
      </c>
      <c r="H101" s="163" t="e">
        <f t="shared" si="1"/>
        <v>#DIV/0!</v>
      </c>
    </row>
    <row r="102" spans="1:8" ht="31.5" customHeight="1" outlineLevel="2">
      <c r="A102" s="78" t="str">
        <f>'Таблица №10'!A107</f>
        <v>Защита населения и территории от чрезвычайных ситуаций природного и техногенного характера, пожарная безопасность</v>
      </c>
      <c r="B102" s="178" t="str">
        <f>'Таблица №10'!C107</f>
        <v>0310</v>
      </c>
      <c r="C102" s="178"/>
      <c r="D102" s="178"/>
      <c r="E102" s="178"/>
      <c r="F102" s="94">
        <f>'Таблица №10'!G107</f>
        <v>50</v>
      </c>
      <c r="G102" s="94">
        <f>'Таблица №10'!H107</f>
        <v>50</v>
      </c>
      <c r="H102" s="163">
        <f t="shared" si="1"/>
        <v>100</v>
      </c>
    </row>
    <row r="103" spans="1:8" ht="28.5" customHeight="1" outlineLevel="5">
      <c r="A103" s="78" t="str">
        <f>'Таблица №10'!A108</f>
        <v>Непрограммные расходы органов местного самоуправления Алексеевского муниципального района</v>
      </c>
      <c r="B103" s="178" t="str">
        <f>'Таблица №10'!C108</f>
        <v>0310</v>
      </c>
      <c r="C103" s="178" t="str">
        <f>'Таблица №10'!D108</f>
        <v>99</v>
      </c>
      <c r="D103" s="178">
        <f>'Таблица №10'!E108</f>
        <v>0</v>
      </c>
      <c r="E103" s="178"/>
      <c r="F103" s="94">
        <f>'Таблица №10'!G108</f>
        <v>50</v>
      </c>
      <c r="G103" s="94">
        <f>'Таблица №10'!H108</f>
        <v>50</v>
      </c>
      <c r="H103" s="163">
        <f t="shared" si="1"/>
        <v>100</v>
      </c>
    </row>
    <row r="104" spans="1:8" ht="27" customHeight="1" outlineLevel="5">
      <c r="A104" s="78" t="str">
        <f>'Таблица №10'!A109</f>
        <v>Закупка товаров, работ и услуг для государственных (муниципальных) нужд</v>
      </c>
      <c r="B104" s="178" t="str">
        <f>'Таблица №10'!C109</f>
        <v>0310</v>
      </c>
      <c r="C104" s="178" t="str">
        <f>'Таблица №10'!D109</f>
        <v>99</v>
      </c>
      <c r="D104" s="178">
        <f>'Таблица №10'!E109</f>
        <v>0</v>
      </c>
      <c r="E104" s="178">
        <f>'Таблица №10'!F109</f>
        <v>200</v>
      </c>
      <c r="F104" s="94">
        <f>'Таблица №10'!G109</f>
        <v>50</v>
      </c>
      <c r="G104" s="94">
        <f>'Таблица №10'!H109</f>
        <v>50</v>
      </c>
      <c r="H104" s="163">
        <f t="shared" si="1"/>
        <v>100</v>
      </c>
    </row>
    <row r="105" spans="1:8" ht="18" customHeight="1" hidden="1" outlineLevel="3">
      <c r="A105" s="78" t="e">
        <f>'Таблица №10'!#REF!</f>
        <v>#REF!</v>
      </c>
      <c r="B105" s="178" t="e">
        <f>'Таблица №10'!#REF!</f>
        <v>#REF!</v>
      </c>
      <c r="C105" s="178"/>
      <c r="D105" s="178"/>
      <c r="E105" s="178"/>
      <c r="F105" s="94" t="e">
        <f>'Таблица №10'!#REF!</f>
        <v>#REF!</v>
      </c>
      <c r="G105" s="94" t="e">
        <f>'Таблица №10'!#REF!</f>
        <v>#REF!</v>
      </c>
      <c r="H105" s="163" t="e">
        <f t="shared" si="1"/>
        <v>#REF!</v>
      </c>
    </row>
    <row r="106" spans="1:8" ht="27" customHeight="1" hidden="1" outlineLevel="3">
      <c r="A106" s="78" t="e">
        <f>'Таблица №10'!#REF!</f>
        <v>#REF!</v>
      </c>
      <c r="B106" s="178" t="e">
        <f>'Таблица №10'!#REF!</f>
        <v>#REF!</v>
      </c>
      <c r="C106" s="178" t="e">
        <f>'Таблица №10'!#REF!</f>
        <v>#REF!</v>
      </c>
      <c r="D106" s="178" t="e">
        <f>'Таблица №10'!#REF!</f>
        <v>#REF!</v>
      </c>
      <c r="E106" s="178"/>
      <c r="F106" s="94" t="e">
        <f>'Таблица №10'!#REF!</f>
        <v>#REF!</v>
      </c>
      <c r="G106" s="94" t="e">
        <f>'Таблица №10'!#REF!</f>
        <v>#REF!</v>
      </c>
      <c r="H106" s="163" t="e">
        <f t="shared" si="1"/>
        <v>#REF!</v>
      </c>
    </row>
    <row r="107" spans="1:8" ht="27" customHeight="1" hidden="1" outlineLevel="3">
      <c r="A107" s="78" t="e">
        <f>'Таблица №10'!#REF!</f>
        <v>#REF!</v>
      </c>
      <c r="B107" s="178" t="e">
        <f>'Таблица №10'!#REF!</f>
        <v>#REF!</v>
      </c>
      <c r="C107" s="178" t="e">
        <f>'Таблица №10'!#REF!</f>
        <v>#REF!</v>
      </c>
      <c r="D107" s="178" t="e">
        <f>'Таблица №10'!#REF!</f>
        <v>#REF!</v>
      </c>
      <c r="E107" s="178" t="e">
        <f>'Таблица №10'!#REF!</f>
        <v>#REF!</v>
      </c>
      <c r="F107" s="94" t="e">
        <f>'Таблица №10'!#REF!</f>
        <v>#REF!</v>
      </c>
      <c r="G107" s="94" t="e">
        <f>'Таблица №10'!#REF!</f>
        <v>#REF!</v>
      </c>
      <c r="H107" s="163" t="e">
        <f t="shared" si="1"/>
        <v>#REF!</v>
      </c>
    </row>
    <row r="108" spans="1:8" ht="11.25" customHeight="1" outlineLevel="3">
      <c r="A108" s="78" t="str">
        <f>'Таблица №10'!A110</f>
        <v>Национальная экономика</v>
      </c>
      <c r="B108" s="178" t="str">
        <f>'Таблица №10'!C110</f>
        <v>0400</v>
      </c>
      <c r="C108" s="178"/>
      <c r="D108" s="178"/>
      <c r="E108" s="178"/>
      <c r="F108" s="94">
        <f>'Таблица №10'!G110</f>
        <v>38493.35679</v>
      </c>
      <c r="G108" s="94">
        <f>'Таблица №10'!H110</f>
        <v>35928.34404</v>
      </c>
      <c r="H108" s="163">
        <f t="shared" si="1"/>
        <v>93.33647942424615</v>
      </c>
    </row>
    <row r="109" spans="1:8" ht="12.75" outlineLevel="3">
      <c r="A109" s="78" t="str">
        <f>'Таблица №10'!A111</f>
        <v>Сельское хозяйство и рыболовство</v>
      </c>
      <c r="B109" s="178" t="str">
        <f>'Таблица №10'!C111</f>
        <v>0405</v>
      </c>
      <c r="C109" s="178"/>
      <c r="D109" s="178"/>
      <c r="E109" s="178"/>
      <c r="F109" s="94">
        <f>'Таблица №10'!G111</f>
        <v>143.5</v>
      </c>
      <c r="G109" s="94">
        <f>'Таблица №10'!H111</f>
        <v>143.5</v>
      </c>
      <c r="H109" s="163">
        <f t="shared" si="1"/>
        <v>100</v>
      </c>
    </row>
    <row r="110" spans="1:8" ht="48" outlineLevel="3">
      <c r="A110" s="78" t="str">
        <f>'Таблица №10'!A112</f>
        <v>Субвенции по предупреждение и ликвидацию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</v>
      </c>
      <c r="B110" s="178" t="str">
        <f>'Таблица №10'!C112</f>
        <v>0405</v>
      </c>
      <c r="C110" s="178" t="str">
        <f>'Таблица №10'!D112</f>
        <v>99</v>
      </c>
      <c r="D110" s="178">
        <f>'Таблица №10'!E112</f>
        <v>0</v>
      </c>
      <c r="E110" s="178"/>
      <c r="F110" s="94">
        <f>'Таблица №10'!G112</f>
        <v>143.5</v>
      </c>
      <c r="G110" s="94">
        <f>'Таблица №10'!H112</f>
        <v>143.5</v>
      </c>
      <c r="H110" s="163">
        <f t="shared" si="1"/>
        <v>100</v>
      </c>
    </row>
    <row r="111" spans="1:8" ht="24" outlineLevel="3">
      <c r="A111" s="78" t="str">
        <f>'Таблица №10'!A113</f>
        <v>Непрограммные расходы органов местного самоуправления Алексеевского муниципального района</v>
      </c>
      <c r="B111" s="178" t="str">
        <f>'Таблица №10'!C113</f>
        <v>0405</v>
      </c>
      <c r="C111" s="178" t="str">
        <f>'Таблица №10'!D113</f>
        <v>99</v>
      </c>
      <c r="D111" s="178">
        <f>'Таблица №10'!E113</f>
        <v>0</v>
      </c>
      <c r="E111" s="178"/>
      <c r="F111" s="94">
        <f>'Таблица №10'!G113</f>
        <v>143.5</v>
      </c>
      <c r="G111" s="94">
        <f>'Таблица №10'!H113</f>
        <v>143.5</v>
      </c>
      <c r="H111" s="163">
        <f t="shared" si="1"/>
        <v>100</v>
      </c>
    </row>
    <row r="112" spans="1:8" ht="24" outlineLevel="3">
      <c r="A112" s="78" t="str">
        <f>'Таблица №10'!A114</f>
        <v>Закупка товаров, работ и услуг для государственных (муниципальных) нужд</v>
      </c>
      <c r="B112" s="178" t="str">
        <f>'Таблица №10'!C114</f>
        <v>0405</v>
      </c>
      <c r="C112" s="178" t="str">
        <f>'Таблица №10'!D114</f>
        <v>99</v>
      </c>
      <c r="D112" s="178">
        <f>'Таблица №10'!E114</f>
        <v>0</v>
      </c>
      <c r="E112" s="178">
        <f>'Таблица №10'!F114</f>
        <v>200</v>
      </c>
      <c r="F112" s="94">
        <f>'Таблица №10'!G114</f>
        <v>143.5</v>
      </c>
      <c r="G112" s="94">
        <f>'Таблица №10'!H114</f>
        <v>143.5</v>
      </c>
      <c r="H112" s="163">
        <f t="shared" si="1"/>
        <v>100</v>
      </c>
    </row>
    <row r="113" spans="1:8" ht="12.75" outlineLevel="3">
      <c r="A113" s="78" t="str">
        <f>'Таблица №10'!A115</f>
        <v>Дорожное хозяйство (дорожные фонды)</v>
      </c>
      <c r="B113" s="178" t="str">
        <f>'Таблица №10'!C115</f>
        <v>0409</v>
      </c>
      <c r="C113" s="178"/>
      <c r="D113" s="178"/>
      <c r="E113" s="178"/>
      <c r="F113" s="94">
        <f>'Таблица №10'!G115</f>
        <v>29618.750979999997</v>
      </c>
      <c r="G113" s="94">
        <f>'Таблица №10'!H115</f>
        <v>27053.738230000003</v>
      </c>
      <c r="H113" s="163">
        <f t="shared" si="1"/>
        <v>91.33990237558628</v>
      </c>
    </row>
    <row r="114" spans="1:8" ht="48" outlineLevel="3">
      <c r="A114" s="78" t="str">
        <f>'Таблица №10'!A116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114" s="178" t="str">
        <f>'Таблица №10'!C116</f>
        <v>0409</v>
      </c>
      <c r="C114" s="178" t="str">
        <f>'Таблица №10'!D116</f>
        <v>18</v>
      </c>
      <c r="D114" s="178">
        <f>'Таблица №10'!E116</f>
        <v>0</v>
      </c>
      <c r="E114" s="178"/>
      <c r="F114" s="94">
        <f>'Таблица №10'!G116</f>
        <v>29618.750979999997</v>
      </c>
      <c r="G114" s="94">
        <f>'Таблица №10'!H116</f>
        <v>27053.738230000003</v>
      </c>
      <c r="H114" s="163">
        <f t="shared" si="1"/>
        <v>91.33990237558628</v>
      </c>
    </row>
    <row r="115" spans="1:8" ht="27" customHeight="1" outlineLevel="1">
      <c r="A115" s="78" t="str">
        <f>'Таблица №10'!A117</f>
        <v>Закупка товаров, работ и услуг для государственных (муниципальных) нужд</v>
      </c>
      <c r="B115" s="178" t="str">
        <f>'Таблица №10'!C117</f>
        <v>0409</v>
      </c>
      <c r="C115" s="178" t="str">
        <f>'Таблица №10'!D117</f>
        <v>18</v>
      </c>
      <c r="D115" s="178">
        <f>'Таблица №10'!E117</f>
        <v>0</v>
      </c>
      <c r="E115" s="178">
        <f>'Таблица №10'!F117</f>
        <v>200</v>
      </c>
      <c r="F115" s="94">
        <f>'Таблица №10'!G117</f>
        <v>2460.316639999998</v>
      </c>
      <c r="G115" s="94">
        <f>'Таблица №10'!H117</f>
        <v>0</v>
      </c>
      <c r="H115" s="163">
        <f t="shared" si="1"/>
        <v>0</v>
      </c>
    </row>
    <row r="116" spans="1:8" ht="23.25" customHeight="1" outlineLevel="1">
      <c r="A116" s="78" t="str">
        <f>'Таблица №10'!A118</f>
        <v>Субсидия на реализацию мероприятий в сфере дорожной деятельности </v>
      </c>
      <c r="B116" s="178" t="str">
        <f>'Таблица №10'!C118</f>
        <v>0409</v>
      </c>
      <c r="C116" s="178" t="str">
        <f>'Таблица №10'!D118</f>
        <v>18</v>
      </c>
      <c r="D116" s="178">
        <f>'Таблица №10'!E118</f>
        <v>0</v>
      </c>
      <c r="E116" s="178">
        <f>'Таблица №10'!F118</f>
        <v>200</v>
      </c>
      <c r="F116" s="94">
        <f>'Таблица №10'!G118</f>
        <v>14200</v>
      </c>
      <c r="G116" s="94">
        <f>'Таблица №10'!H118</f>
        <v>14109.19057</v>
      </c>
      <c r="H116" s="163">
        <f t="shared" si="1"/>
        <v>99.360496971831</v>
      </c>
    </row>
    <row r="117" spans="1:8" ht="36" outlineLevel="1">
      <c r="A117" s="78" t="str">
        <f>'Таблица №10'!A119</f>
        <v>Закупка товаров, работ и услуг для государственных (муниципальных) нужд (софинансирование мероприятий в сфере дорожной деятельности)</v>
      </c>
      <c r="B117" s="178" t="str">
        <f>'Таблица №10'!C119</f>
        <v>0409</v>
      </c>
      <c r="C117" s="178" t="str">
        <f>'Таблица №10'!D119</f>
        <v>18</v>
      </c>
      <c r="D117" s="178">
        <f>'Таблица №10'!E119</f>
        <v>0</v>
      </c>
      <c r="E117" s="178">
        <f>'Таблица №10'!F119</f>
        <v>200</v>
      </c>
      <c r="F117" s="94">
        <f>'Таблица №10'!G119</f>
        <v>143.43434</v>
      </c>
      <c r="G117" s="94">
        <f>'Таблица №10'!H119</f>
        <v>142.51709</v>
      </c>
      <c r="H117" s="163">
        <f t="shared" si="1"/>
        <v>99.36050878750514</v>
      </c>
    </row>
    <row r="118" spans="1:8" ht="24.75" customHeight="1" outlineLevel="1">
      <c r="A118" s="78" t="str">
        <f>'Таблица №10'!A120</f>
        <v>Межбюджетные трансферты за счет средств субсидии на реализацию мероприятий в сфере дорожной деятельности</v>
      </c>
      <c r="B118" s="178" t="str">
        <f>'Таблица №10'!C120</f>
        <v>0409</v>
      </c>
      <c r="C118" s="178" t="str">
        <f>'Таблица №10'!D120</f>
        <v>18</v>
      </c>
      <c r="D118" s="178">
        <f>'Таблица №10'!E120</f>
        <v>0</v>
      </c>
      <c r="E118" s="178">
        <f>'Таблица №10'!F120</f>
        <v>500</v>
      </c>
      <c r="F118" s="94">
        <f>'Таблица №10'!G120</f>
        <v>12815</v>
      </c>
      <c r="G118" s="94">
        <f>'Таблица №10'!H120</f>
        <v>12802.03057</v>
      </c>
      <c r="H118" s="163">
        <f t="shared" si="1"/>
        <v>99.89879492781897</v>
      </c>
    </row>
    <row r="119" spans="1:8" ht="24" hidden="1" outlineLevel="1">
      <c r="A119" s="78" t="str">
        <f>'Таблица №10'!A121</f>
        <v>Муниципальная программа "Комплексное развитие сельских территорий"</v>
      </c>
      <c r="B119" s="178" t="str">
        <f>'Таблица №10'!C121</f>
        <v>0409</v>
      </c>
      <c r="C119" s="178" t="str">
        <f>'Таблица №10'!D121</f>
        <v>03</v>
      </c>
      <c r="D119" s="178">
        <f>'Таблица №10'!E121</f>
        <v>0</v>
      </c>
      <c r="E119" s="178"/>
      <c r="F119" s="94">
        <f>'Таблица №10'!G121</f>
        <v>0</v>
      </c>
      <c r="G119" s="94">
        <f>'Таблица №10'!H121</f>
        <v>0</v>
      </c>
      <c r="H119" s="163" t="e">
        <f t="shared" si="1"/>
        <v>#DIV/0!</v>
      </c>
    </row>
    <row r="120" spans="1:8" ht="24" hidden="1" outlineLevel="1">
      <c r="A120" s="78" t="str">
        <f>'Таблица №10'!A122</f>
        <v>Предоставление субсидий бюджетным, автономным учреждениям и иным некоммерческим организациям</v>
      </c>
      <c r="B120" s="178" t="str">
        <f>'Таблица №10'!C122</f>
        <v>0409</v>
      </c>
      <c r="C120" s="178" t="str">
        <f>'Таблица №10'!D122</f>
        <v>03</v>
      </c>
      <c r="D120" s="178">
        <f>'Таблица №10'!E122</f>
        <v>0</v>
      </c>
      <c r="E120" s="178">
        <f>'Таблица №10'!F122</f>
        <v>600</v>
      </c>
      <c r="F120" s="94">
        <f>'Таблица №10'!G122</f>
        <v>0</v>
      </c>
      <c r="G120" s="94">
        <f>'Таблица №10'!H122</f>
        <v>0</v>
      </c>
      <c r="H120" s="163" t="e">
        <f t="shared" si="1"/>
        <v>#DIV/0!</v>
      </c>
    </row>
    <row r="121" spans="1:8" ht="16.5" customHeight="1" outlineLevel="2">
      <c r="A121" s="78" t="str">
        <f>'Таблица №10'!A123</f>
        <v>Другие вопросы в области национальной экономики</v>
      </c>
      <c r="B121" s="178" t="str">
        <f>'Таблица №10'!C123</f>
        <v>0412</v>
      </c>
      <c r="C121" s="178"/>
      <c r="D121" s="178"/>
      <c r="E121" s="178"/>
      <c r="F121" s="94">
        <f>'Таблица №10'!G123</f>
        <v>8731.105810000001</v>
      </c>
      <c r="G121" s="94">
        <f>'Таблица №10'!H123</f>
        <v>8731.105810000001</v>
      </c>
      <c r="H121" s="163">
        <f t="shared" si="1"/>
        <v>100</v>
      </c>
    </row>
    <row r="122" spans="1:8" ht="35.25" customHeight="1" outlineLevel="2">
      <c r="A122" s="78" t="str">
        <f>'Таблица №10'!A124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122" s="178" t="str">
        <f>'Таблица №10'!C124</f>
        <v>0412</v>
      </c>
      <c r="C122" s="178" t="str">
        <f>'Таблица №10'!D124</f>
        <v>04</v>
      </c>
      <c r="D122" s="178">
        <f>'Таблица №10'!E124</f>
        <v>0</v>
      </c>
      <c r="E122" s="178"/>
      <c r="F122" s="94">
        <f>'Таблица №10'!G124</f>
        <v>40</v>
      </c>
      <c r="G122" s="94">
        <f>'Таблица №10'!H124</f>
        <v>40</v>
      </c>
      <c r="H122" s="163">
        <f t="shared" si="1"/>
        <v>100</v>
      </c>
    </row>
    <row r="123" spans="1:8" ht="108" customHeight="1" hidden="1" outlineLevel="2">
      <c r="A123" s="78" t="str">
        <f>'Таблица №10'!A125</f>
        <v>Закупка товаров, работ и услуг для государственных (муниципальных) нужд</v>
      </c>
      <c r="B123" s="178" t="str">
        <f>'Таблица №10'!C125</f>
        <v>0412</v>
      </c>
      <c r="C123" s="178" t="str">
        <f>'Таблица №10'!D125</f>
        <v>04</v>
      </c>
      <c r="D123" s="178">
        <f>'Таблица №10'!E125</f>
        <v>0</v>
      </c>
      <c r="E123" s="178">
        <f>'Таблица №10'!F125</f>
        <v>200</v>
      </c>
      <c r="F123" s="94">
        <f>'Таблица №10'!G125</f>
        <v>0</v>
      </c>
      <c r="G123" s="94">
        <f>'Таблица №10'!H125</f>
        <v>0</v>
      </c>
      <c r="H123" s="163" t="e">
        <f t="shared" si="1"/>
        <v>#DIV/0!</v>
      </c>
    </row>
    <row r="124" spans="1:8" ht="165" customHeight="1" hidden="1" outlineLevel="2">
      <c r="A124" s="78" t="str">
        <f>'Таблица №10'!A126</f>
        <v>Социальное обеспечение и иные выплаты населению</v>
      </c>
      <c r="B124" s="178" t="str">
        <f>'Таблица №10'!C126</f>
        <v>0412</v>
      </c>
      <c r="C124" s="178" t="str">
        <f>'Таблица №10'!D126</f>
        <v>04</v>
      </c>
      <c r="D124" s="178">
        <f>'Таблица №10'!E126</f>
        <v>0</v>
      </c>
      <c r="E124" s="178">
        <f>'Таблица №10'!F126</f>
        <v>300</v>
      </c>
      <c r="F124" s="94">
        <f>'Таблица №10'!G126</f>
        <v>0</v>
      </c>
      <c r="G124" s="94">
        <f>'Таблица №10'!H126</f>
        <v>0</v>
      </c>
      <c r="H124" s="163" t="e">
        <f t="shared" si="1"/>
        <v>#DIV/0!</v>
      </c>
    </row>
    <row r="125" spans="1:8" ht="12.75" outlineLevel="2">
      <c r="A125" s="78" t="str">
        <f>'Таблица №10'!A127</f>
        <v>Иные бюджетные ассигнования</v>
      </c>
      <c r="B125" s="178" t="str">
        <f>'Таблица №10'!C127</f>
        <v>0412</v>
      </c>
      <c r="C125" s="178" t="str">
        <f>'Таблица №10'!D127</f>
        <v>04</v>
      </c>
      <c r="D125" s="178">
        <f>'Таблица №10'!E127</f>
        <v>0</v>
      </c>
      <c r="E125" s="178">
        <f>'Таблица №10'!F127</f>
        <v>800</v>
      </c>
      <c r="F125" s="94">
        <f>'Таблица №10'!G127</f>
        <v>40</v>
      </c>
      <c r="G125" s="94">
        <f>'Таблица №10'!H127</f>
        <v>40</v>
      </c>
      <c r="H125" s="163">
        <f t="shared" si="1"/>
        <v>100</v>
      </c>
    </row>
    <row r="126" spans="1:8" ht="39" customHeight="1" outlineLevel="2">
      <c r="A126" s="78" t="str">
        <f>'Таблица №10'!A128</f>
        <v>Муниципальная программа "Градостроительная политика на территории Алексеевского муниципального района на 2022–2024 годы"</v>
      </c>
      <c r="B126" s="178" t="str">
        <f>'Таблица №10'!C128</f>
        <v>0412</v>
      </c>
      <c r="C126" s="178" t="str">
        <f>'Таблица №10'!D128</f>
        <v>09</v>
      </c>
      <c r="D126" s="178">
        <f>'Таблица №10'!E128</f>
        <v>0</v>
      </c>
      <c r="E126" s="178"/>
      <c r="F126" s="94">
        <f>'Таблица №10'!G128</f>
        <v>8691.105810000001</v>
      </c>
      <c r="G126" s="94">
        <f>'Таблица №10'!H128</f>
        <v>8691.105810000001</v>
      </c>
      <c r="H126" s="163">
        <f t="shared" si="1"/>
        <v>100</v>
      </c>
    </row>
    <row r="127" spans="1:8" ht="24.75" customHeight="1" outlineLevel="2">
      <c r="A127" s="78" t="str">
        <f>'Таблица №10'!A129</f>
        <v>Закупка товаров, работ и услуг для государственных (муниципальных) нужд</v>
      </c>
      <c r="B127" s="178" t="str">
        <f>'Таблица №10'!C129</f>
        <v>0412</v>
      </c>
      <c r="C127" s="178" t="str">
        <f>'Таблица №10'!D129</f>
        <v>09</v>
      </c>
      <c r="D127" s="178">
        <f>'Таблица №10'!E129</f>
        <v>0</v>
      </c>
      <c r="E127" s="178">
        <f>'Таблица №10'!F129</f>
        <v>200</v>
      </c>
      <c r="F127" s="94">
        <f>'Таблица №10'!G129</f>
        <v>301.388</v>
      </c>
      <c r="G127" s="94">
        <f>'Таблица №10'!H129</f>
        <v>301.388</v>
      </c>
      <c r="H127" s="163">
        <f t="shared" si="1"/>
        <v>100</v>
      </c>
    </row>
    <row r="128" spans="1:8" ht="12.75" outlineLevel="2">
      <c r="A128" s="78" t="str">
        <f>'Таблица №10'!A130</f>
        <v>Межбюджетные трансферты</v>
      </c>
      <c r="B128" s="178" t="str">
        <f>'Таблица №10'!C130</f>
        <v>0412</v>
      </c>
      <c r="C128" s="178" t="str">
        <f>'Таблица №10'!D130</f>
        <v>09</v>
      </c>
      <c r="D128" s="178">
        <f>'Таблица №10'!E130</f>
        <v>0</v>
      </c>
      <c r="E128" s="178">
        <f>'Таблица №10'!F130</f>
        <v>500</v>
      </c>
      <c r="F128" s="94">
        <f>'Таблица №10'!G130</f>
        <v>230</v>
      </c>
      <c r="G128" s="94">
        <f>'Таблица №10'!H130</f>
        <v>230</v>
      </c>
      <c r="H128" s="163">
        <f t="shared" si="1"/>
        <v>100</v>
      </c>
    </row>
    <row r="129" spans="1:8" ht="16.5" customHeight="1" outlineLevel="3">
      <c r="A129" s="78" t="str">
        <f>'Таблица №10'!A131</f>
        <v>Проведение в 2022 году комплексных кадастровых работ</v>
      </c>
      <c r="B129" s="178" t="str">
        <f>'Таблица №10'!C131</f>
        <v>0412</v>
      </c>
      <c r="C129" s="178" t="str">
        <f>'Таблица №10'!D131</f>
        <v>09</v>
      </c>
      <c r="D129" s="178">
        <f>'Таблица №10'!E131</f>
        <v>0</v>
      </c>
      <c r="E129" s="178"/>
      <c r="F129" s="94">
        <f>'Таблица №10'!G131</f>
        <v>8159.71781</v>
      </c>
      <c r="G129" s="94">
        <f>'Таблица №10'!H131</f>
        <v>8159.71781</v>
      </c>
      <c r="H129" s="163">
        <f t="shared" si="1"/>
        <v>100</v>
      </c>
    </row>
    <row r="130" spans="1:8" ht="35.25" customHeight="1" outlineLevel="3">
      <c r="A130" s="78" t="str">
        <f>'Таблица №10'!A132</f>
        <v>Закупка товаров, работ и услуг для государственных (муниципальных) нужд (Субсидии бюджетам муниципальных образований Волгоградской области на проведение в 2022 году комплексных кадастровых работ)</v>
      </c>
      <c r="B130" s="178" t="str">
        <f>'Таблица №10'!C132</f>
        <v>0412</v>
      </c>
      <c r="C130" s="178" t="str">
        <f>'Таблица №10'!D132</f>
        <v>09</v>
      </c>
      <c r="D130" s="178">
        <f>'Таблица №10'!E132</f>
        <v>0</v>
      </c>
      <c r="E130" s="178">
        <f>'Таблица №10'!F132</f>
        <v>200</v>
      </c>
      <c r="F130" s="94">
        <f>'Таблица №10'!G132</f>
        <v>7343.74603</v>
      </c>
      <c r="G130" s="94">
        <f>'Таблица №10'!H132</f>
        <v>7343.74603</v>
      </c>
      <c r="H130" s="163">
        <f t="shared" si="1"/>
        <v>100</v>
      </c>
    </row>
    <row r="131" spans="1:8" ht="27" customHeight="1" outlineLevel="3">
      <c r="A131" s="78" t="str">
        <f>'Таблица №10'!A133</f>
        <v>Закупка товаров, работ и услуг для государственных (муниципальных) нужд (софинансирования)</v>
      </c>
      <c r="B131" s="178" t="str">
        <f>'Таблица №10'!C133</f>
        <v>0412</v>
      </c>
      <c r="C131" s="178" t="str">
        <f>'Таблица №10'!D133</f>
        <v>09</v>
      </c>
      <c r="D131" s="178">
        <f>'Таблица №10'!E133</f>
        <v>0</v>
      </c>
      <c r="E131" s="178">
        <f>'Таблица №10'!F133</f>
        <v>200</v>
      </c>
      <c r="F131" s="94">
        <f>'Таблица №10'!G133</f>
        <v>815.9717800000001</v>
      </c>
      <c r="G131" s="94">
        <f>'Таблица №10'!H133</f>
        <v>815.9717800000001</v>
      </c>
      <c r="H131" s="163">
        <f t="shared" si="1"/>
        <v>100</v>
      </c>
    </row>
    <row r="132" spans="1:8" ht="12.75" outlineLevel="2">
      <c r="A132" s="78" t="str">
        <f>'Таблица №10'!A134</f>
        <v>Жилищно-коммунальное хозяйство</v>
      </c>
      <c r="B132" s="178" t="str">
        <f>'Таблица №10'!C134</f>
        <v>0500</v>
      </c>
      <c r="C132" s="178"/>
      <c r="D132" s="178"/>
      <c r="E132" s="178"/>
      <c r="F132" s="94">
        <f>'Таблица №10'!G134</f>
        <v>16757.505289999997</v>
      </c>
      <c r="G132" s="94">
        <f>'Таблица №10'!H134</f>
        <v>16457.505289999997</v>
      </c>
      <c r="H132" s="163">
        <f t="shared" si="1"/>
        <v>98.20975739044508</v>
      </c>
    </row>
    <row r="133" spans="1:8" ht="12.75" outlineLevel="3">
      <c r="A133" s="78" t="str">
        <f>'Таблица №10'!A135</f>
        <v>Коммунальное хозяйство</v>
      </c>
      <c r="B133" s="178" t="str">
        <f>'Таблица №10'!C135</f>
        <v>0502</v>
      </c>
      <c r="C133" s="178"/>
      <c r="D133" s="178"/>
      <c r="E133" s="178"/>
      <c r="F133" s="94">
        <f>'Таблица №10'!G135</f>
        <v>9712.118289999999</v>
      </c>
      <c r="G133" s="94">
        <f>'Таблица №10'!H135</f>
        <v>9412.118289999999</v>
      </c>
      <c r="H133" s="163">
        <f t="shared" si="1"/>
        <v>96.9110755136818</v>
      </c>
    </row>
    <row r="134" spans="1:8" ht="37.5" customHeight="1" outlineLevel="3">
      <c r="A134" s="78" t="str">
        <f>'Таблица №10'!A136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34" s="178" t="str">
        <f>'Таблица №10'!C136</f>
        <v>0502</v>
      </c>
      <c r="C134" s="178" t="str">
        <f>'Таблица №10'!D136</f>
        <v>02</v>
      </c>
      <c r="D134" s="178">
        <f>'Таблица №10'!E136</f>
        <v>0</v>
      </c>
      <c r="E134" s="178"/>
      <c r="F134" s="94">
        <f>'Таблица №10'!G136</f>
        <v>5550.46429</v>
      </c>
      <c r="G134" s="94">
        <f>'Таблица №10'!H136</f>
        <v>5550.46429</v>
      </c>
      <c r="H134" s="163">
        <f t="shared" si="1"/>
        <v>100</v>
      </c>
    </row>
    <row r="135" spans="1:8" ht="36.75" customHeight="1" outlineLevel="3">
      <c r="A135" s="78" t="str">
        <f>'Таблица №10'!A137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35" s="178" t="str">
        <f>'Таблица №10'!C137</f>
        <v>0502</v>
      </c>
      <c r="C135" s="178" t="str">
        <f>'Таблица №10'!D137</f>
        <v>02</v>
      </c>
      <c r="D135" s="178">
        <f>'Таблица №10'!E137</f>
        <v>1</v>
      </c>
      <c r="E135" s="178"/>
      <c r="F135" s="94">
        <f>'Таблица №10'!G137</f>
        <v>5550.46429</v>
      </c>
      <c r="G135" s="94">
        <f>'Таблица №10'!H137</f>
        <v>5550.46429</v>
      </c>
      <c r="H135" s="163">
        <f t="shared" si="1"/>
        <v>100</v>
      </c>
    </row>
    <row r="136" spans="1:8" ht="24.75" customHeight="1" outlineLevel="3">
      <c r="A136" s="78" t="str">
        <f>'Таблица №10'!A138</f>
        <v>Закупка товаров, работ и услуг для государственных (муниципальных) нужд</v>
      </c>
      <c r="B136" s="178" t="str">
        <f>'Таблица №10'!C138</f>
        <v>0502</v>
      </c>
      <c r="C136" s="178" t="str">
        <f>'Таблица №10'!D138</f>
        <v>02</v>
      </c>
      <c r="D136" s="178">
        <f>'Таблица №10'!E138</f>
        <v>1</v>
      </c>
      <c r="E136" s="178">
        <f>'Таблица №10'!F138</f>
        <v>200</v>
      </c>
      <c r="F136" s="94">
        <f>'Таблица №10'!G138</f>
        <v>256.01985</v>
      </c>
      <c r="G136" s="94">
        <f>'Таблица №10'!H138</f>
        <v>256.01985</v>
      </c>
      <c r="H136" s="163">
        <f t="shared" si="1"/>
        <v>100</v>
      </c>
    </row>
    <row r="137" spans="1:8" ht="36" outlineLevel="3">
      <c r="A137" s="78" t="str">
        <f>'Таблица №10'!A139</f>
        <v>Межбюджетные трансферты за счет средств субсидии на приобретение и монтаж оборудования для доочистки воды (с учетом софинансирования)</v>
      </c>
      <c r="B137" s="178" t="str">
        <f>'Таблица №10'!C139</f>
        <v>0502</v>
      </c>
      <c r="C137" s="178" t="str">
        <f>'Таблица №10'!D139</f>
        <v>02</v>
      </c>
      <c r="D137" s="178">
        <f>'Таблица №10'!E139</f>
        <v>1</v>
      </c>
      <c r="E137" s="178">
        <f>'Таблица №10'!F139</f>
        <v>500</v>
      </c>
      <c r="F137" s="94">
        <f>'Таблица №10'!G139</f>
        <v>4444.44444</v>
      </c>
      <c r="G137" s="94">
        <f>'Таблица №10'!H139</f>
        <v>4444.44444</v>
      </c>
      <c r="H137" s="163">
        <f t="shared" si="1"/>
        <v>100</v>
      </c>
    </row>
    <row r="138" spans="1:8" ht="15" customHeight="1" outlineLevel="3">
      <c r="A138" s="78" t="str">
        <f>'Таблица №10'!A140</f>
        <v>Межбюджетные трансферты</v>
      </c>
      <c r="B138" s="178" t="str">
        <f>'Таблица №10'!C140</f>
        <v>0502</v>
      </c>
      <c r="C138" s="178" t="str">
        <f>'Таблица №10'!D140</f>
        <v>02</v>
      </c>
      <c r="D138" s="178">
        <f>'Таблица №10'!E140</f>
        <v>1</v>
      </c>
      <c r="E138" s="178">
        <f>'Таблица №10'!F140</f>
        <v>500</v>
      </c>
      <c r="F138" s="94">
        <f>'Таблица №10'!G140</f>
        <v>850</v>
      </c>
      <c r="G138" s="94">
        <f>'Таблица №10'!H140</f>
        <v>850</v>
      </c>
      <c r="H138" s="163">
        <f aca="true" t="shared" si="2" ref="H138:H201">SUM(G138/F138)*100</f>
        <v>100</v>
      </c>
    </row>
    <row r="139" spans="1:8" ht="36" outlineLevel="3">
      <c r="A139" s="78" t="str">
        <f>'Таблица №10'!A141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39" s="178" t="str">
        <f>'Таблица №10'!C141</f>
        <v>0502</v>
      </c>
      <c r="C139" s="178" t="str">
        <f>'Таблица №10'!D141</f>
        <v>02</v>
      </c>
      <c r="D139" s="178">
        <f>'Таблица №10'!E141</f>
        <v>3</v>
      </c>
      <c r="E139" s="178"/>
      <c r="F139" s="94">
        <f>'Таблица №10'!G141</f>
        <v>0</v>
      </c>
      <c r="G139" s="94">
        <f>'Таблица №10'!H141</f>
        <v>0</v>
      </c>
      <c r="H139" s="163" t="e">
        <f t="shared" si="2"/>
        <v>#DIV/0!</v>
      </c>
    </row>
    <row r="140" spans="1:8" ht="24" outlineLevel="3">
      <c r="A140" s="78" t="str">
        <f>'Таблица №10'!A142</f>
        <v>Капитальные вложения в объекты государственной (муниципальной) собственности</v>
      </c>
      <c r="B140" s="178" t="str">
        <f>'Таблица №10'!C142</f>
        <v>0502</v>
      </c>
      <c r="C140" s="178" t="str">
        <f>'Таблица №10'!D142</f>
        <v>02</v>
      </c>
      <c r="D140" s="178">
        <f>'Таблица №10'!E142</f>
        <v>3</v>
      </c>
      <c r="E140" s="178">
        <f>'Таблица №10'!F142</f>
        <v>400</v>
      </c>
      <c r="F140" s="94">
        <f>'Таблица №10'!G142</f>
        <v>0</v>
      </c>
      <c r="G140" s="94">
        <f>'Таблица №10'!H142</f>
        <v>0</v>
      </c>
      <c r="H140" s="163" t="e">
        <f t="shared" si="2"/>
        <v>#DIV/0!</v>
      </c>
    </row>
    <row r="141" spans="1:8" ht="60" outlineLevel="3">
      <c r="A141" s="78" t="str">
        <f>'Таблица №10'!A143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141" s="178" t="str">
        <f>'Таблица №10'!C143</f>
        <v>0502</v>
      </c>
      <c r="C141" s="178" t="str">
        <f>'Таблица №10'!D143</f>
        <v>51</v>
      </c>
      <c r="D141" s="178">
        <f>'Таблица №10'!E143</f>
        <v>0</v>
      </c>
      <c r="E141" s="178"/>
      <c r="F141" s="94">
        <f>'Таблица №10'!G143</f>
        <v>4075.20655</v>
      </c>
      <c r="G141" s="94">
        <f>'Таблица №10'!H143</f>
        <v>3775.20655</v>
      </c>
      <c r="H141" s="163">
        <f t="shared" si="2"/>
        <v>92.63840994758904</v>
      </c>
    </row>
    <row r="142" spans="1:8" ht="24" outlineLevel="3">
      <c r="A142" s="78" t="str">
        <f>'Таблица №10'!A144</f>
        <v>Предоставление субсидий бюджетным, автономным учреждениям и иным некоммерческим организациям</v>
      </c>
      <c r="B142" s="178" t="str">
        <f>'Таблица №10'!C144</f>
        <v>0502</v>
      </c>
      <c r="C142" s="178" t="str">
        <f>'Таблица №10'!D144</f>
        <v>51</v>
      </c>
      <c r="D142" s="178">
        <f>'Таблица №10'!E144</f>
        <v>0</v>
      </c>
      <c r="E142" s="178">
        <f>'Таблица №10'!F144</f>
        <v>600</v>
      </c>
      <c r="F142" s="94">
        <f>'Таблица №10'!G144</f>
        <v>4075.20655</v>
      </c>
      <c r="G142" s="94">
        <f>'Таблица №10'!H144</f>
        <v>3775.20655</v>
      </c>
      <c r="H142" s="163">
        <f t="shared" si="2"/>
        <v>92.63840994758904</v>
      </c>
    </row>
    <row r="143" spans="1:8" ht="50.25" customHeight="1" outlineLevel="1">
      <c r="A143" s="78" t="str">
        <f>'Таблица №10'!A145</f>
        <v>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
</v>
      </c>
      <c r="B143" s="178" t="str">
        <f>'Таблица №10'!C145</f>
        <v>0502</v>
      </c>
      <c r="C143" s="178"/>
      <c r="D143" s="178"/>
      <c r="E143" s="178"/>
      <c r="F143" s="94">
        <f>'Таблица №10'!G145</f>
        <v>86.44745</v>
      </c>
      <c r="G143" s="94">
        <f>'Таблица №10'!H145</f>
        <v>86.44745</v>
      </c>
      <c r="H143" s="163">
        <f t="shared" si="2"/>
        <v>100</v>
      </c>
    </row>
    <row r="144" spans="1:8" ht="24" outlineLevel="1">
      <c r="A144" s="78" t="str">
        <f>'Таблица №10'!A146</f>
        <v>Непрограммные расходы органов местного самоуправления Алексеевского муниципального района</v>
      </c>
      <c r="B144" s="178" t="str">
        <f>'Таблица №10'!C146</f>
        <v>0502</v>
      </c>
      <c r="C144" s="178" t="str">
        <f>'Таблица №10'!D146</f>
        <v>99</v>
      </c>
      <c r="D144" s="178">
        <f>'Таблица №10'!E146</f>
        <v>0</v>
      </c>
      <c r="E144" s="178"/>
      <c r="F144" s="94">
        <f>'Таблица №10'!G146</f>
        <v>86.44745</v>
      </c>
      <c r="G144" s="94">
        <f>'Таблица №10'!H146</f>
        <v>86.44745</v>
      </c>
      <c r="H144" s="163">
        <f t="shared" si="2"/>
        <v>100</v>
      </c>
    </row>
    <row r="145" spans="1:8" ht="12.75" outlineLevel="1">
      <c r="A145" s="78" t="str">
        <f>'Таблица №10'!A147</f>
        <v>Иные бюджетные ассигнования</v>
      </c>
      <c r="B145" s="178" t="str">
        <f>'Таблица №10'!C147</f>
        <v>0502</v>
      </c>
      <c r="C145" s="178" t="str">
        <f>'Таблица №10'!D147</f>
        <v>99</v>
      </c>
      <c r="D145" s="178">
        <f>'Таблица №10'!E147</f>
        <v>0</v>
      </c>
      <c r="E145" s="178">
        <f>'Таблица №10'!F147</f>
        <v>800</v>
      </c>
      <c r="F145" s="94">
        <f>'Таблица №10'!G147</f>
        <v>86.44745</v>
      </c>
      <c r="G145" s="94">
        <f>'Таблица №10'!H147</f>
        <v>86.44745</v>
      </c>
      <c r="H145" s="163">
        <f t="shared" si="2"/>
        <v>100</v>
      </c>
    </row>
    <row r="146" spans="1:8" ht="12.75" outlineLevel="1">
      <c r="A146" s="78" t="str">
        <f>'Таблица №10'!A148</f>
        <v>Благоустройство</v>
      </c>
      <c r="B146" s="178" t="str">
        <f>'Таблица №10'!C148</f>
        <v>0503</v>
      </c>
      <c r="C146" s="178"/>
      <c r="D146" s="178"/>
      <c r="E146" s="178"/>
      <c r="F146" s="94">
        <f>'Таблица №10'!G148</f>
        <v>7045.387</v>
      </c>
      <c r="G146" s="94">
        <f>'Таблица №10'!H148</f>
        <v>7045.387</v>
      </c>
      <c r="H146" s="163">
        <f t="shared" si="2"/>
        <v>100</v>
      </c>
    </row>
    <row r="147" spans="1:8" ht="24" outlineLevel="1">
      <c r="A147" s="78" t="str">
        <f>'Таблица №10'!A149</f>
        <v>Непрограммные расходы органов местного самоуправления Алексеевского муниципального района</v>
      </c>
      <c r="B147" s="178" t="str">
        <f>'Таблица №10'!C149</f>
        <v>0503</v>
      </c>
      <c r="C147" s="178" t="str">
        <f>'Таблица №10'!D149</f>
        <v>99</v>
      </c>
      <c r="D147" s="178">
        <f>'Таблица №10'!E149</f>
        <v>0</v>
      </c>
      <c r="E147" s="178"/>
      <c r="F147" s="94">
        <f>'Таблица №10'!G149</f>
        <v>4339.2</v>
      </c>
      <c r="G147" s="94">
        <f>'Таблица №10'!H149</f>
        <v>4339.2</v>
      </c>
      <c r="H147" s="163">
        <f t="shared" si="2"/>
        <v>100</v>
      </c>
    </row>
    <row r="148" spans="1:8" ht="48" outlineLevel="1">
      <c r="A148" s="78" t="str">
        <f>'Таблица №10'!A150</f>
        <v>Межбюджетные трансферты (за счет субсидии из областного бюджета бюджетам муниципальных образований Волгоградской области на содержание объектов благоустройства)</v>
      </c>
      <c r="B148" s="178" t="str">
        <f>'Таблица №10'!C150</f>
        <v>0503</v>
      </c>
      <c r="C148" s="178" t="str">
        <f>'Таблица №10'!D150</f>
        <v>99</v>
      </c>
      <c r="D148" s="178">
        <f>'Таблица №10'!E150</f>
        <v>0</v>
      </c>
      <c r="E148" s="178">
        <f>'Таблица №10'!F150</f>
        <v>500</v>
      </c>
      <c r="F148" s="94">
        <f>'Таблица №10'!G150</f>
        <v>4339.2</v>
      </c>
      <c r="G148" s="94">
        <f>'Таблица №10'!H150</f>
        <v>4339.2</v>
      </c>
      <c r="H148" s="163">
        <f t="shared" si="2"/>
        <v>100</v>
      </c>
    </row>
    <row r="149" spans="1:8" ht="36.75" customHeight="1" outlineLevel="1">
      <c r="A149" s="78" t="str">
        <f>'Таблица №10'!A151</f>
        <v>Межбюджетные трансферты (содержание на территории муниципального района межпоселенческих мест захоронения, организация ритуальных услуг)</v>
      </c>
      <c r="B149" s="178" t="str">
        <f>'Таблица №10'!C151</f>
        <v>0503</v>
      </c>
      <c r="C149" s="178" t="str">
        <f>'Таблица №10'!D151</f>
        <v>99</v>
      </c>
      <c r="D149" s="178">
        <f>'Таблица №10'!E151</f>
        <v>0</v>
      </c>
      <c r="E149" s="178">
        <f>'Таблица №10'!F151</f>
        <v>500</v>
      </c>
      <c r="F149" s="94">
        <f>'Таблица №10'!G151</f>
        <v>0</v>
      </c>
      <c r="G149" s="94">
        <f>'Таблица №10'!H151</f>
        <v>0</v>
      </c>
      <c r="H149" s="163" t="e">
        <f t="shared" si="2"/>
        <v>#DIV/0!</v>
      </c>
    </row>
    <row r="150" spans="1:8" ht="24" outlineLevel="1">
      <c r="A150" s="78" t="str">
        <f>'Таблица №10'!A152</f>
        <v>Муниципальная программа "Комплексное развитие сельских территорий"</v>
      </c>
      <c r="B150" s="178" t="str">
        <f>'Таблица №10'!C152</f>
        <v>0503</v>
      </c>
      <c r="C150" s="178" t="str">
        <f>'Таблица №10'!D152</f>
        <v>03</v>
      </c>
      <c r="D150" s="178">
        <f>'Таблица №10'!E152</f>
        <v>0</v>
      </c>
      <c r="E150" s="178"/>
      <c r="F150" s="94">
        <f>'Таблица №10'!G152</f>
        <v>2706.187</v>
      </c>
      <c r="G150" s="94">
        <f>'Таблица №10'!H152</f>
        <v>2706.187</v>
      </c>
      <c r="H150" s="163">
        <f t="shared" si="2"/>
        <v>100</v>
      </c>
    </row>
    <row r="151" spans="1:8" ht="24.75" customHeight="1" outlineLevel="1">
      <c r="A151" s="78" t="str">
        <f>'Таблица №10'!A153</f>
        <v>Предоставление субсидий бюджетным, автономным учреждениям и иным некоммерческим организациям</v>
      </c>
      <c r="B151" s="178" t="str">
        <f>'Таблица №10'!C153</f>
        <v>0503</v>
      </c>
      <c r="C151" s="178" t="str">
        <f>'Таблица №10'!D153</f>
        <v>03</v>
      </c>
      <c r="D151" s="178">
        <f>'Таблица №10'!E153</f>
        <v>0</v>
      </c>
      <c r="E151" s="178">
        <f>'Таблица №10'!F153</f>
        <v>600</v>
      </c>
      <c r="F151" s="94">
        <f>'Таблица №10'!G153</f>
        <v>2706.187</v>
      </c>
      <c r="G151" s="94">
        <f>'Таблица №10'!H153</f>
        <v>2706.187</v>
      </c>
      <c r="H151" s="163">
        <f t="shared" si="2"/>
        <v>100</v>
      </c>
    </row>
    <row r="152" spans="1:8" ht="12.75" outlineLevel="2">
      <c r="A152" s="78" t="str">
        <f>'Таблица №10'!A154</f>
        <v>Охрана окружающей среды</v>
      </c>
      <c r="B152" s="178" t="str">
        <f>'Таблица №10'!C154</f>
        <v>0600</v>
      </c>
      <c r="C152" s="178">
        <f>'Таблица №10'!D154</f>
        <v>0</v>
      </c>
      <c r="D152" s="178">
        <f>'Таблица №10'!E154</f>
        <v>0</v>
      </c>
      <c r="E152" s="178"/>
      <c r="F152" s="94">
        <f>'Таблица №10'!G154</f>
        <v>0</v>
      </c>
      <c r="G152" s="94">
        <f>'Таблица №10'!H154</f>
        <v>0</v>
      </c>
      <c r="H152" s="163" t="e">
        <f t="shared" si="2"/>
        <v>#DIV/0!</v>
      </c>
    </row>
    <row r="153" spans="1:8" ht="24" outlineLevel="5">
      <c r="A153" s="78" t="str">
        <f>'Таблица №10'!A155</f>
        <v>Муниципальная программа "Охрана окружающей среды Алексеевского муниципального района на 2019-2023 годы"</v>
      </c>
      <c r="B153" s="178" t="str">
        <f>'Таблица №10'!C155</f>
        <v>0605</v>
      </c>
      <c r="C153" s="178" t="str">
        <f>'Таблица №10'!D155</f>
        <v>05</v>
      </c>
      <c r="D153" s="178">
        <f>'Таблица №10'!E155</f>
        <v>0</v>
      </c>
      <c r="E153" s="178"/>
      <c r="F153" s="94">
        <f>'Таблица №10'!G155</f>
        <v>0</v>
      </c>
      <c r="G153" s="94">
        <f>'Таблица №10'!H155</f>
        <v>0</v>
      </c>
      <c r="H153" s="163" t="e">
        <f t="shared" si="2"/>
        <v>#DIV/0!</v>
      </c>
    </row>
    <row r="154" spans="1:8" ht="24" outlineLevel="5">
      <c r="A154" s="78" t="str">
        <f>'Таблица №10'!A156</f>
        <v>Закупка товаров, работ и услуг для государственных (муниципальных) нужд</v>
      </c>
      <c r="B154" s="178" t="str">
        <f>'Таблица №10'!C156</f>
        <v>0605</v>
      </c>
      <c r="C154" s="178" t="str">
        <f>'Таблица №10'!D156</f>
        <v>05</v>
      </c>
      <c r="D154" s="178">
        <f>'Таблица №10'!E156</f>
        <v>0</v>
      </c>
      <c r="E154" s="178">
        <f>'Таблица №10'!F156</f>
        <v>200</v>
      </c>
      <c r="F154" s="94">
        <f>'Таблица №10'!G156</f>
        <v>0</v>
      </c>
      <c r="G154" s="94">
        <f>'Таблица №10'!H156</f>
        <v>0</v>
      </c>
      <c r="H154" s="163" t="e">
        <f t="shared" si="2"/>
        <v>#DIV/0!</v>
      </c>
    </row>
    <row r="155" spans="1:8" ht="24" hidden="1" outlineLevel="5">
      <c r="A155" s="78" t="str">
        <f>'Таблица №10'!A157</f>
        <v>Предоставление субсидий бюджетным, автономным учреждениям и иным некоммерческим организациям</v>
      </c>
      <c r="B155" s="178" t="str">
        <f>'Таблица №10'!C157</f>
        <v>0605</v>
      </c>
      <c r="C155" s="178" t="str">
        <f>'Таблица №10'!D157</f>
        <v>05</v>
      </c>
      <c r="D155" s="178">
        <f>'Таблица №10'!E157</f>
        <v>0</v>
      </c>
      <c r="E155" s="178">
        <f>'Таблица №10'!F157</f>
        <v>600</v>
      </c>
      <c r="F155" s="94">
        <f>'Таблица №10'!G157</f>
        <v>0</v>
      </c>
      <c r="G155" s="94">
        <f>'Таблица №10'!H157</f>
        <v>0</v>
      </c>
      <c r="H155" s="163" t="e">
        <f t="shared" si="2"/>
        <v>#DIV/0!</v>
      </c>
    </row>
    <row r="156" spans="1:8" ht="12.75" outlineLevel="5">
      <c r="A156" s="78" t="str">
        <f>'Таблица №10'!A158</f>
        <v>Образование</v>
      </c>
      <c r="B156" s="178" t="str">
        <f>'Таблица №10'!C158</f>
        <v>0700</v>
      </c>
      <c r="C156" s="178"/>
      <c r="D156" s="178"/>
      <c r="E156" s="178"/>
      <c r="F156" s="94">
        <f>'Таблица №10'!G158</f>
        <v>259571.69220999995</v>
      </c>
      <c r="G156" s="94">
        <f>'Таблица №10'!H158</f>
        <v>255937.17505</v>
      </c>
      <c r="H156" s="163">
        <f t="shared" si="2"/>
        <v>98.59980218603363</v>
      </c>
    </row>
    <row r="157" spans="1:8" ht="12.75" outlineLevel="2">
      <c r="A157" s="78" t="str">
        <f>'Таблица №10'!A159</f>
        <v>Дошкольное образование</v>
      </c>
      <c r="B157" s="178" t="str">
        <f>'Таблица №10'!C159</f>
        <v>0701</v>
      </c>
      <c r="C157" s="178"/>
      <c r="D157" s="178"/>
      <c r="E157" s="178"/>
      <c r="F157" s="94">
        <f>'Таблица №10'!G159</f>
        <v>37562.003119999994</v>
      </c>
      <c r="G157" s="94">
        <f>'Таблица №10'!H159</f>
        <v>36261.78992</v>
      </c>
      <c r="H157" s="163">
        <f t="shared" si="2"/>
        <v>96.53848812097114</v>
      </c>
    </row>
    <row r="158" spans="1:8" ht="35.25" customHeight="1" outlineLevel="2">
      <c r="A158" s="78" t="str">
        <f>'Таблица №10'!A160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58" s="178" t="str">
        <f>'Таблица №10'!C160</f>
        <v>0701</v>
      </c>
      <c r="C158" s="178" t="str">
        <f>'Таблица №10'!D160</f>
        <v>02</v>
      </c>
      <c r="D158" s="178">
        <f>'Таблица №10'!E160</f>
        <v>0</v>
      </c>
      <c r="E158" s="178"/>
      <c r="F158" s="94">
        <f>'Таблица №10'!G160</f>
        <v>123.57628999999999</v>
      </c>
      <c r="G158" s="94">
        <f>'Таблица №10'!H160</f>
        <v>123.57628999999999</v>
      </c>
      <c r="H158" s="163">
        <f t="shared" si="2"/>
        <v>100</v>
      </c>
    </row>
    <row r="159" spans="1:8" ht="35.25" customHeight="1" outlineLevel="2">
      <c r="A159" s="78" t="str">
        <f>'Таблица №10'!A161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59" s="178" t="str">
        <f>'Таблица №10'!C161</f>
        <v>0701</v>
      </c>
      <c r="C159" s="178" t="str">
        <f>'Таблица №10'!D161</f>
        <v>02</v>
      </c>
      <c r="D159" s="178">
        <f>'Таблица №10'!E161</f>
        <v>3</v>
      </c>
      <c r="E159" s="178"/>
      <c r="F159" s="94">
        <f>'Таблица №10'!G161</f>
        <v>42.468</v>
      </c>
      <c r="G159" s="94">
        <f>'Таблица №10'!H161</f>
        <v>42.468</v>
      </c>
      <c r="H159" s="163">
        <f t="shared" si="2"/>
        <v>100</v>
      </c>
    </row>
    <row r="160" spans="1:8" ht="24" hidden="1" outlineLevel="2">
      <c r="A160" s="78" t="str">
        <f>'Таблица №10'!A162</f>
        <v>Капитальные вложения в объекты государственной (муниципальной) собственности</v>
      </c>
      <c r="B160" s="178" t="str">
        <f>'Таблица №10'!C162</f>
        <v>0701</v>
      </c>
      <c r="C160" s="178" t="str">
        <f>'Таблица №10'!D162</f>
        <v>02</v>
      </c>
      <c r="D160" s="178">
        <f>'Таблица №10'!E162</f>
        <v>3</v>
      </c>
      <c r="E160" s="178" t="s">
        <v>296</v>
      </c>
      <c r="F160" s="94">
        <f>'Таблица №10'!G162</f>
        <v>0</v>
      </c>
      <c r="G160" s="94">
        <f>'Таблица №10'!H162</f>
        <v>0</v>
      </c>
      <c r="H160" s="163" t="e">
        <f t="shared" si="2"/>
        <v>#DIV/0!</v>
      </c>
    </row>
    <row r="161" spans="1:8" ht="24" outlineLevel="2">
      <c r="A161" s="78" t="str">
        <f>'Таблица №10'!A163</f>
        <v>Предоставление субсидий бюджетным, автономным учреждениям и иным некоммерческим организациям</v>
      </c>
      <c r="B161" s="178" t="str">
        <f>'Таблица №10'!C163</f>
        <v>0701</v>
      </c>
      <c r="C161" s="178" t="str">
        <f>'Таблица №10'!D163</f>
        <v>02</v>
      </c>
      <c r="D161" s="178">
        <f>'Таблица №10'!E163</f>
        <v>3</v>
      </c>
      <c r="E161" s="178">
        <f>'Таблица №10'!F163</f>
        <v>600</v>
      </c>
      <c r="F161" s="94">
        <f>'Таблица №10'!G163</f>
        <v>42.468</v>
      </c>
      <c r="G161" s="94">
        <f>'Таблица №10'!H163</f>
        <v>42.468</v>
      </c>
      <c r="H161" s="163">
        <f t="shared" si="2"/>
        <v>100</v>
      </c>
    </row>
    <row r="162" spans="1:8" ht="38.25" customHeight="1" outlineLevel="2">
      <c r="A162" s="78" t="str">
        <f>'Таблица №10'!A164</f>
        <v>Подпрограмма "Энергосбережение и повышение энергетической эффективности Алексеевского муниципального района"</v>
      </c>
      <c r="B162" s="178" t="str">
        <f>'Таблица №10'!C164</f>
        <v>0701</v>
      </c>
      <c r="C162" s="178" t="str">
        <f>'Таблица №10'!D164</f>
        <v>02</v>
      </c>
      <c r="D162" s="178">
        <f>'Таблица №10'!E164</f>
        <v>4</v>
      </c>
      <c r="E162" s="178"/>
      <c r="F162" s="94">
        <f>'Таблица №10'!G164</f>
        <v>81.10828999999998</v>
      </c>
      <c r="G162" s="94">
        <f>'Таблица №10'!H164</f>
        <v>81.10828999999998</v>
      </c>
      <c r="H162" s="163">
        <f t="shared" si="2"/>
        <v>100</v>
      </c>
    </row>
    <row r="163" spans="1:8" ht="24" outlineLevel="2">
      <c r="A163" s="78" t="str">
        <f>'Таблица №10'!A165</f>
        <v>Предоставление субсидий бюджетным, автономным учреждениям и иным некоммерческим организациям</v>
      </c>
      <c r="B163" s="178" t="str">
        <f>'Таблица №10'!C165</f>
        <v>0701</v>
      </c>
      <c r="C163" s="178" t="str">
        <f>'Таблица №10'!D165</f>
        <v>02</v>
      </c>
      <c r="D163" s="178">
        <f>'Таблица №10'!E165</f>
        <v>4</v>
      </c>
      <c r="E163" s="178">
        <f>'Таблица №10'!F165</f>
        <v>600</v>
      </c>
      <c r="F163" s="94">
        <f>'Таблица №10'!G165</f>
        <v>81.10828999999998</v>
      </c>
      <c r="G163" s="94">
        <f>'Таблица №10'!H165</f>
        <v>81.10828999999998</v>
      </c>
      <c r="H163" s="163">
        <f t="shared" si="2"/>
        <v>100</v>
      </c>
    </row>
    <row r="164" spans="1:8" ht="96" outlineLevel="2">
      <c r="A164" s="78" t="str">
        <f>'Таблица №10'!A166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64" s="178" t="str">
        <f>'Таблица №10'!C166</f>
        <v>0701</v>
      </c>
      <c r="C164" s="178" t="str">
        <f>'Таблица №10'!D166</f>
        <v>22</v>
      </c>
      <c r="D164" s="178">
        <f>'Таблица №10'!E166</f>
        <v>0</v>
      </c>
      <c r="E164" s="178"/>
      <c r="F164" s="94">
        <f>'Таблица №10'!G166</f>
        <v>148.6804</v>
      </c>
      <c r="G164" s="94">
        <f>'Таблица №10'!H166</f>
        <v>148.6804</v>
      </c>
      <c r="H164" s="163">
        <f t="shared" si="2"/>
        <v>100</v>
      </c>
    </row>
    <row r="165" spans="1:8" ht="24" outlineLevel="2">
      <c r="A165" s="78" t="str">
        <f>'Таблица №10'!A167</f>
        <v>Предоставление субсидий бюджетным, автономным учреждениям и иным некоммерческим организациям</v>
      </c>
      <c r="B165" s="178" t="str">
        <f>'Таблица №10'!C167</f>
        <v>0701</v>
      </c>
      <c r="C165" s="178" t="str">
        <f>'Таблица №10'!D167</f>
        <v>22</v>
      </c>
      <c r="D165" s="178">
        <f>'Таблица №10'!E167</f>
        <v>0</v>
      </c>
      <c r="E165" s="178">
        <f>'Таблица №10'!F167</f>
        <v>600</v>
      </c>
      <c r="F165" s="94">
        <f>'Таблица №10'!G167</f>
        <v>148.6804</v>
      </c>
      <c r="G165" s="94">
        <f>'Таблица №10'!H167</f>
        <v>148.6804</v>
      </c>
      <c r="H165" s="163">
        <f t="shared" si="2"/>
        <v>100</v>
      </c>
    </row>
    <row r="166" spans="1:8" ht="36" outlineLevel="2">
      <c r="A166" s="78" t="str">
        <f>'Таблица №10'!A168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66" s="178" t="str">
        <f>'Таблица №10'!C168</f>
        <v>0701</v>
      </c>
      <c r="C166" s="178" t="str">
        <f>'Таблица №10'!D168</f>
        <v>52</v>
      </c>
      <c r="D166" s="178">
        <f>'Таблица №10'!E168</f>
        <v>0</v>
      </c>
      <c r="E166" s="178"/>
      <c r="F166" s="94">
        <f>'Таблица №10'!G168</f>
        <v>24928.72756</v>
      </c>
      <c r="G166" s="94">
        <f>'Таблица №10'!H168</f>
        <v>24016.71782</v>
      </c>
      <c r="H166" s="163">
        <f t="shared" si="2"/>
        <v>96.3415311198499</v>
      </c>
    </row>
    <row r="167" spans="1:8" ht="24" outlineLevel="2">
      <c r="A167" s="78" t="str">
        <f>'Таблица №10'!A169</f>
        <v>Предоставление субсидий бюджетным, автономным учреждениям и иным некоммерческим организациям</v>
      </c>
      <c r="B167" s="178" t="str">
        <f>'Таблица №10'!C169</f>
        <v>0701</v>
      </c>
      <c r="C167" s="178" t="str">
        <f>'Таблица №10'!D169</f>
        <v>52</v>
      </c>
      <c r="D167" s="178">
        <f>'Таблица №10'!E169</f>
        <v>0</v>
      </c>
      <c r="E167" s="178">
        <f>'Таблица №10'!F169</f>
        <v>600</v>
      </c>
      <c r="F167" s="94">
        <f>'Таблица №10'!G169</f>
        <v>10957.08</v>
      </c>
      <c r="G167" s="94">
        <f>'Таблица №10'!H169</f>
        <v>10590.07026</v>
      </c>
      <c r="H167" s="163">
        <f t="shared" si="2"/>
        <v>96.65047859466208</v>
      </c>
    </row>
    <row r="168" spans="1:8" ht="36" outlineLevel="2">
      <c r="A168" s="78" t="str">
        <f>'Таблица №10'!A170</f>
        <v>За счет средств областного бюджета на осуществление образовательного процесса муниципальными дошкольными образовательными организациями</v>
      </c>
      <c r="B168" s="178" t="str">
        <f>'Таблица №10'!C170</f>
        <v>0701</v>
      </c>
      <c r="C168" s="178" t="str">
        <f>'Таблица №10'!D170</f>
        <v>52</v>
      </c>
      <c r="D168" s="178">
        <f>'Таблица №10'!E170</f>
        <v>0</v>
      </c>
      <c r="E168" s="178">
        <f>'Таблица №10'!F170</f>
        <v>600</v>
      </c>
      <c r="F168" s="94">
        <f>'Таблица №10'!G170</f>
        <v>13926.2</v>
      </c>
      <c r="G168" s="94">
        <f>'Таблица №10'!H170</f>
        <v>13381.2</v>
      </c>
      <c r="H168" s="163">
        <f t="shared" si="2"/>
        <v>96.0865131909638</v>
      </c>
    </row>
    <row r="169" spans="1:8" ht="46.5" customHeight="1" hidden="1" outlineLevel="2">
      <c r="A169" s="78" t="str">
        <f>'Таблица №10'!A171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69" s="178" t="str">
        <f>'Таблица №10'!C171</f>
        <v>0701</v>
      </c>
      <c r="C169" s="178" t="str">
        <f>'Таблица №10'!D171</f>
        <v>52</v>
      </c>
      <c r="D169" s="178">
        <f>'Таблица №10'!E171</f>
        <v>0</v>
      </c>
      <c r="E169" s="178">
        <f>'Таблица №10'!F171</f>
        <v>600</v>
      </c>
      <c r="F169" s="94">
        <f>'Таблица №10'!G171</f>
        <v>0</v>
      </c>
      <c r="G169" s="94">
        <f>'Таблица №10'!H171</f>
        <v>0</v>
      </c>
      <c r="H169" s="163" t="e">
        <f t="shared" si="2"/>
        <v>#DIV/0!</v>
      </c>
    </row>
    <row r="170" spans="1:8" ht="23.25" customHeight="1" outlineLevel="2">
      <c r="A170" s="78" t="str">
        <f>'Таблица №10'!A172</f>
        <v>За счет средств на расходы на осуществление социальных гарантий молодым специалистам</v>
      </c>
      <c r="B170" s="178" t="str">
        <f>'Таблица №10'!C172</f>
        <v>0701</v>
      </c>
      <c r="C170" s="178" t="str">
        <f>'Таблица №10'!D172</f>
        <v>52</v>
      </c>
      <c r="D170" s="178">
        <f>'Таблица №10'!E172</f>
        <v>0</v>
      </c>
      <c r="E170" s="178">
        <f>'Таблица №10'!F172</f>
        <v>600</v>
      </c>
      <c r="F170" s="94">
        <f>'Таблица №10'!G172</f>
        <v>45.447559999999996</v>
      </c>
      <c r="G170" s="94">
        <f>'Таблица №10'!H172</f>
        <v>45.447559999999996</v>
      </c>
      <c r="H170" s="163">
        <f t="shared" si="2"/>
        <v>100</v>
      </c>
    </row>
    <row r="171" spans="1:8" ht="108" hidden="1" outlineLevel="2">
      <c r="A171" s="78" t="str">
        <f>'Таблица №10'!A173</f>
        <v>Предоставление субсидий бюджетным, автономным учреждениям и иным некоммерческим организациям на софинансирование мероприятий 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1" s="178" t="str">
        <f>'Таблица №10'!C173</f>
        <v>0701</v>
      </c>
      <c r="C171" s="178" t="str">
        <f>'Таблица №10'!D173</f>
        <v>52</v>
      </c>
      <c r="D171" s="178">
        <f>'Таблица №10'!E173</f>
        <v>0</v>
      </c>
      <c r="E171" s="178">
        <f>'Таблица №10'!F173</f>
        <v>600</v>
      </c>
      <c r="F171" s="94">
        <f>'Таблица №10'!G173</f>
        <v>0</v>
      </c>
      <c r="G171" s="94">
        <f>'Таблица №10'!H173</f>
        <v>0</v>
      </c>
      <c r="H171" s="163" t="e">
        <f t="shared" si="2"/>
        <v>#DIV/0!</v>
      </c>
    </row>
    <row r="172" spans="1:8" ht="36" outlineLevel="2">
      <c r="A172" s="78" t="str">
        <f>'Таблица №10'!A174</f>
        <v>Ведомственная целевая программа "Развитие образования детей на территории Алексеевского муниципального района на 2020-2022 годы"</v>
      </c>
      <c r="B172" s="178" t="str">
        <f>'Таблица №10'!C174</f>
        <v>0701</v>
      </c>
      <c r="C172" s="178" t="str">
        <f>'Таблица №10'!D174</f>
        <v>53</v>
      </c>
      <c r="D172" s="178">
        <f>'Таблица №10'!E174</f>
        <v>0</v>
      </c>
      <c r="E172" s="178"/>
      <c r="F172" s="94">
        <f>'Таблица №10'!G174</f>
        <v>12333.31887</v>
      </c>
      <c r="G172" s="94">
        <f>'Таблица №10'!H174</f>
        <v>11945.11541</v>
      </c>
      <c r="H172" s="163">
        <f t="shared" si="2"/>
        <v>96.85240068718016</v>
      </c>
    </row>
    <row r="173" spans="1:8" ht="12.75" outlineLevel="2">
      <c r="A173" s="78" t="str">
        <f>'Таблица №10'!A175</f>
        <v>Подпрограмма "Развитие дошкольного образования детей"</v>
      </c>
      <c r="B173" s="178" t="str">
        <f>'Таблица №10'!C175</f>
        <v>0701</v>
      </c>
      <c r="C173" s="178" t="str">
        <f>'Таблица №10'!D175</f>
        <v>53</v>
      </c>
      <c r="D173" s="178">
        <f>'Таблица №10'!E175</f>
        <v>1</v>
      </c>
      <c r="E173" s="178">
        <f>'Таблица №10'!F175</f>
        <v>0</v>
      </c>
      <c r="F173" s="94">
        <f>'Таблица №10'!G175</f>
        <v>12333.31887</v>
      </c>
      <c r="G173" s="94">
        <f>'Таблица №10'!H175</f>
        <v>11945.11541</v>
      </c>
      <c r="H173" s="163">
        <f t="shared" si="2"/>
        <v>96.85240068718016</v>
      </c>
    </row>
    <row r="174" spans="1:8" ht="74.25" customHeight="1" outlineLevel="2">
      <c r="A174" s="78" t="str">
        <f>'Таблица №10'!A176</f>
        <v>Предоставление субсидий бюджетным, автономным учреждениям и иным некоммерческим организациям за счет средств областного бюджета на осуществление образовательного процесса по реализации общеобразовательных программ дошкольного образования муниципальными общеобразовательными организациями</v>
      </c>
      <c r="B174" s="178" t="str">
        <f>'Таблица №10'!C176</f>
        <v>0701</v>
      </c>
      <c r="C174" s="178" t="str">
        <f>'Таблица №10'!D176</f>
        <v>53</v>
      </c>
      <c r="D174" s="178">
        <f>'Таблица №10'!E176</f>
        <v>1</v>
      </c>
      <c r="E174" s="178">
        <f>'Таблица №10'!F176</f>
        <v>600</v>
      </c>
      <c r="F174" s="94">
        <f>'Таблица №10'!G176</f>
        <v>7904.899999999999</v>
      </c>
      <c r="G174" s="94">
        <f>'Таблица №10'!H176</f>
        <v>7866</v>
      </c>
      <c r="H174" s="163">
        <f t="shared" si="2"/>
        <v>99.50790016318993</v>
      </c>
    </row>
    <row r="175" spans="1:8" ht="51" customHeight="1" hidden="1" outlineLevel="2">
      <c r="A175" s="78" t="str">
        <f>'Таблица №10'!A177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175" s="178" t="str">
        <f>'Таблица №10'!C177</f>
        <v>0701</v>
      </c>
      <c r="C175" s="178" t="str">
        <f>'Таблица №10'!D177</f>
        <v>53</v>
      </c>
      <c r="D175" s="178">
        <f>'Таблица №10'!E177</f>
        <v>1</v>
      </c>
      <c r="E175" s="178">
        <f>'Таблица №10'!F177</f>
        <v>600</v>
      </c>
      <c r="F175" s="94">
        <f>'Таблица №10'!G177</f>
        <v>0</v>
      </c>
      <c r="G175" s="94">
        <f>'Таблица №10'!H177</f>
        <v>0</v>
      </c>
      <c r="H175" s="163" t="e">
        <f t="shared" si="2"/>
        <v>#DIV/0!</v>
      </c>
    </row>
    <row r="176" spans="1:8" ht="27.75" customHeight="1" outlineLevel="2">
      <c r="A176" s="78" t="str">
        <f>'Таблица №10'!A178</f>
        <v>Предоставление субсидий бюджетным, автономным учреждениям и иным некоммерческим организациям</v>
      </c>
      <c r="B176" s="178" t="str">
        <f>'Таблица №10'!C178</f>
        <v>0701</v>
      </c>
      <c r="C176" s="178" t="str">
        <f>'Таблица №10'!D178</f>
        <v>53</v>
      </c>
      <c r="D176" s="178">
        <f>'Таблица №10'!E178</f>
        <v>1</v>
      </c>
      <c r="E176" s="178">
        <f>'Таблица №10'!F178</f>
        <v>600</v>
      </c>
      <c r="F176" s="94">
        <f>'Таблица №10'!G178</f>
        <v>4428.41887</v>
      </c>
      <c r="G176" s="94">
        <f>'Таблица №10'!H178</f>
        <v>4079.11541</v>
      </c>
      <c r="H176" s="163">
        <f t="shared" si="2"/>
        <v>92.11223079265758</v>
      </c>
    </row>
    <row r="177" spans="1:8" ht="71.25" customHeight="1" hidden="1" outlineLevel="2">
      <c r="A177" s="78" t="str">
        <f>'Таблица №10'!A179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 и (или) перепрофилирование групп и (или)приобретение оборудования и (или) оснащение образовательных организаций, реализующих программы дошкольного образования, в которых планируется открытие мест для детей в возрасте от 1,5 лет до 3 лет </v>
      </c>
      <c r="B177" s="178" t="str">
        <f>'Таблица №10'!C179</f>
        <v>0701</v>
      </c>
      <c r="C177" s="178" t="str">
        <f>'Таблица №10'!D179</f>
        <v>53</v>
      </c>
      <c r="D177" s="178">
        <f>'Таблица №10'!E179</f>
        <v>0</v>
      </c>
      <c r="E177" s="178">
        <f>'Таблица №10'!F179</f>
        <v>600</v>
      </c>
      <c r="F177" s="94">
        <f>'Таблица №10'!G179</f>
        <v>0</v>
      </c>
      <c r="G177" s="94">
        <f>'Таблица №10'!H179</f>
        <v>0</v>
      </c>
      <c r="H177" s="163" t="e">
        <f t="shared" si="2"/>
        <v>#DIV/0!</v>
      </c>
    </row>
    <row r="178" spans="1:8" ht="7.5" customHeight="1" hidden="1" outlineLevel="2">
      <c r="A178" s="78" t="str">
        <f>'Таблица №10'!A180</f>
        <v>Предоставление субсидий бюджетным, автономным учреждениям и иным некоммерческим организациям на софинансирование мероприятий на проведение капитального ремонта, перепрофилирование групп, приобретение оборудования и (или) оснащение образовательных организаций, осуществляющих образовательную деятельность по образовательным программам дошкольного образования, в которых планируется открытие мест для детей в возрасте от 2 месяцев до 3 лет </v>
      </c>
      <c r="B178" s="178" t="str">
        <f>'Таблица №10'!C180</f>
        <v>0701</v>
      </c>
      <c r="C178" s="178" t="str">
        <f>'Таблица №10'!D180</f>
        <v>53</v>
      </c>
      <c r="D178" s="178">
        <f>'Таблица №10'!E180</f>
        <v>0</v>
      </c>
      <c r="E178" s="178">
        <f>'Таблица №10'!F180</f>
        <v>600</v>
      </c>
      <c r="F178" s="94">
        <f>'Таблица №10'!G180</f>
        <v>0</v>
      </c>
      <c r="G178" s="94">
        <f>'Таблица №10'!H180</f>
        <v>0</v>
      </c>
      <c r="H178" s="163" t="e">
        <f t="shared" si="2"/>
        <v>#DIV/0!</v>
      </c>
    </row>
    <row r="179" spans="1:8" ht="24" customHeight="1" outlineLevel="2">
      <c r="A179" s="78" t="str">
        <f>'Таблица №10'!A181</f>
        <v>Непрограммные расходы органов местного самоуправления Алексеевского муниципального района</v>
      </c>
      <c r="B179" s="178" t="str">
        <f>'Таблица №10'!C181</f>
        <v>0701</v>
      </c>
      <c r="C179" s="178" t="str">
        <f>'Таблица №10'!D181</f>
        <v>99</v>
      </c>
      <c r="D179" s="178">
        <f>'Таблица №10'!E181</f>
        <v>0</v>
      </c>
      <c r="E179" s="178"/>
      <c r="F179" s="94">
        <f>'Таблица №10'!G181</f>
        <v>27.7</v>
      </c>
      <c r="G179" s="94">
        <f>'Таблица №10'!H181</f>
        <v>27.7</v>
      </c>
      <c r="H179" s="163">
        <f t="shared" si="2"/>
        <v>100</v>
      </c>
    </row>
    <row r="180" spans="1:8" ht="15.75" customHeight="1" outlineLevel="2">
      <c r="A180" s="78" t="str">
        <f>'Таблица №10'!A182</f>
        <v>Резервный фонд Администрации Волгоградской области</v>
      </c>
      <c r="B180" s="178" t="str">
        <f>'Таблица №10'!C182</f>
        <v>0701</v>
      </c>
      <c r="C180" s="178" t="str">
        <f>'Таблица №10'!D182</f>
        <v>99</v>
      </c>
      <c r="D180" s="178">
        <f>'Таблица №10'!E182</f>
        <v>0</v>
      </c>
      <c r="E180" s="178">
        <f>'Таблица №10'!F182</f>
        <v>0</v>
      </c>
      <c r="F180" s="94">
        <f>'Таблица №10'!G182</f>
        <v>27.7</v>
      </c>
      <c r="G180" s="94">
        <f>'Таблица №10'!H182</f>
        <v>27.7</v>
      </c>
      <c r="H180" s="163">
        <f t="shared" si="2"/>
        <v>100</v>
      </c>
    </row>
    <row r="181" spans="1:8" ht="25.5" customHeight="1" outlineLevel="2">
      <c r="A181" s="78" t="str">
        <f>'Таблица №10'!A183</f>
        <v>Предоставление субсидий бюджетным, автономным учреждениям и иным некоммерческим организациям</v>
      </c>
      <c r="B181" s="178" t="str">
        <f>'Таблица №10'!C183</f>
        <v>0701</v>
      </c>
      <c r="C181" s="178" t="str">
        <f>'Таблица №10'!D183</f>
        <v>99</v>
      </c>
      <c r="D181" s="178">
        <f>'Таблица №10'!E183</f>
        <v>0</v>
      </c>
      <c r="E181" s="178">
        <f>'Таблица №10'!F183</f>
        <v>600</v>
      </c>
      <c r="F181" s="94">
        <f>'Таблица №10'!G183</f>
        <v>27.7</v>
      </c>
      <c r="G181" s="94">
        <f>'Таблица №10'!H183</f>
        <v>27.7</v>
      </c>
      <c r="H181" s="163">
        <f t="shared" si="2"/>
        <v>100</v>
      </c>
    </row>
    <row r="182" spans="1:8" ht="12.75" outlineLevel="5">
      <c r="A182" s="78" t="str">
        <f>'Таблица №10'!A184</f>
        <v>Общее образование</v>
      </c>
      <c r="B182" s="178" t="str">
        <f>'Таблица №10'!C184</f>
        <v>0702</v>
      </c>
      <c r="C182" s="178"/>
      <c r="D182" s="178"/>
      <c r="E182" s="178"/>
      <c r="F182" s="94">
        <f>'Таблица №10'!G184</f>
        <v>202197.42305999997</v>
      </c>
      <c r="G182" s="94">
        <f>'Таблица №10'!H184</f>
        <v>199863.11909999998</v>
      </c>
      <c r="H182" s="163">
        <f t="shared" si="2"/>
        <v>98.84553228984164</v>
      </c>
    </row>
    <row r="183" spans="1:8" ht="24" outlineLevel="5">
      <c r="A183" s="78" t="str">
        <f>'Таблица №10'!A185</f>
        <v>Школы-детские сады, школы начальные, неполные средние и средние</v>
      </c>
      <c r="B183" s="178" t="str">
        <f>'Таблица №10'!C185</f>
        <v>0702</v>
      </c>
      <c r="C183" s="178"/>
      <c r="D183" s="178"/>
      <c r="E183" s="178"/>
      <c r="F183" s="94">
        <f>'Таблица №10'!G185</f>
        <v>202197.42305999997</v>
      </c>
      <c r="G183" s="94">
        <f>'Таблица №10'!H185</f>
        <v>199863.11909999998</v>
      </c>
      <c r="H183" s="163">
        <f t="shared" si="2"/>
        <v>98.84553228984164</v>
      </c>
    </row>
    <row r="184" spans="1:8" ht="37.5" customHeight="1" outlineLevel="5">
      <c r="A184" s="78" t="str">
        <f>'Таблица №10'!A186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84" s="178" t="str">
        <f>'Таблица №10'!C186</f>
        <v>0702</v>
      </c>
      <c r="C184" s="178" t="str">
        <f>'Таблица №10'!D186</f>
        <v>02</v>
      </c>
      <c r="D184" s="178">
        <f>'Таблица №10'!E186</f>
        <v>0</v>
      </c>
      <c r="E184" s="178"/>
      <c r="F184" s="94">
        <f>'Таблица №10'!G186</f>
        <v>18047.726279999995</v>
      </c>
      <c r="G184" s="94">
        <f>'Таблица №10'!H186</f>
        <v>17448.72628</v>
      </c>
      <c r="H184" s="163">
        <f t="shared" si="2"/>
        <v>96.6810223586791</v>
      </c>
    </row>
    <row r="185" spans="1:8" ht="33.75" customHeight="1" outlineLevel="5">
      <c r="A185" s="78" t="str">
        <f>'Таблица №10'!A187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185" s="178" t="str">
        <f>'Таблица №10'!C187</f>
        <v>0702</v>
      </c>
      <c r="C185" s="178" t="str">
        <f>'Таблица №10'!D187</f>
        <v>02</v>
      </c>
      <c r="D185" s="178">
        <f>'Таблица №10'!E187</f>
        <v>3</v>
      </c>
      <c r="E185" s="178"/>
      <c r="F185" s="94">
        <f>'Таблица №10'!G187</f>
        <v>16776.792829999995</v>
      </c>
      <c r="G185" s="94">
        <f>'Таблица №10'!H187</f>
        <v>16177.79283</v>
      </c>
      <c r="H185" s="163">
        <f t="shared" si="2"/>
        <v>96.429591721912</v>
      </c>
    </row>
    <row r="186" spans="1:8" ht="24" hidden="1" outlineLevel="5">
      <c r="A186" s="78" t="str">
        <f>'Таблица №10'!A188</f>
        <v>Закупка товаров, работ и услуг для государственных (муниципальных) нужд</v>
      </c>
      <c r="B186" s="178" t="str">
        <f>'Таблица №10'!C188</f>
        <v>0702</v>
      </c>
      <c r="C186" s="178" t="str">
        <f>'Таблица №10'!D188</f>
        <v>02</v>
      </c>
      <c r="D186" s="178">
        <f>'Таблица №10'!E188</f>
        <v>3</v>
      </c>
      <c r="E186" s="178" t="s">
        <v>150</v>
      </c>
      <c r="F186" s="94">
        <f>'Таблица №10'!G188</f>
        <v>0</v>
      </c>
      <c r="G186" s="94">
        <f>'Таблица №10'!H188</f>
        <v>0</v>
      </c>
      <c r="H186" s="163" t="e">
        <f t="shared" si="2"/>
        <v>#DIV/0!</v>
      </c>
    </row>
    <row r="187" spans="1:8" ht="24" outlineLevel="5">
      <c r="A187" s="78" t="str">
        <f>'Таблица №10'!A189</f>
        <v>Предоставление субсидий бюджетным, автономным учреждениям и иным некоммерческим организациям</v>
      </c>
      <c r="B187" s="178" t="str">
        <f>'Таблица №10'!C189</f>
        <v>0702</v>
      </c>
      <c r="C187" s="178" t="str">
        <f>'Таблица №10'!D189</f>
        <v>02</v>
      </c>
      <c r="D187" s="178">
        <f>'Таблица №10'!E189</f>
        <v>3</v>
      </c>
      <c r="E187" s="178">
        <f>'Таблица №10'!F189</f>
        <v>600</v>
      </c>
      <c r="F187" s="94">
        <f>'Таблица №10'!G189</f>
        <v>16776.792829999995</v>
      </c>
      <c r="G187" s="94">
        <f>'Таблица №10'!H189</f>
        <v>16177.79283</v>
      </c>
      <c r="H187" s="163">
        <f t="shared" si="2"/>
        <v>96.429591721912</v>
      </c>
    </row>
    <row r="188" spans="1:8" ht="36.75" customHeight="1" outlineLevel="5">
      <c r="A188" s="78" t="str">
        <f>'Таблица №10'!A190</f>
        <v>Подпрограмма "Энергосбережение и повышение энергетической эффективности Алексеевского муниципального района"</v>
      </c>
      <c r="B188" s="178" t="str">
        <f>'Таблица №10'!C190</f>
        <v>0702</v>
      </c>
      <c r="C188" s="178" t="str">
        <f>'Таблица №10'!D190</f>
        <v>02</v>
      </c>
      <c r="D188" s="178">
        <f>'Таблица №10'!E190</f>
        <v>4</v>
      </c>
      <c r="E188" s="178"/>
      <c r="F188" s="94">
        <f>'Таблица №10'!G190</f>
        <v>1270.93345</v>
      </c>
      <c r="G188" s="94">
        <f>'Таблица №10'!H190</f>
        <v>1270.93345</v>
      </c>
      <c r="H188" s="163">
        <f t="shared" si="2"/>
        <v>100</v>
      </c>
    </row>
    <row r="189" spans="1:8" ht="24" outlineLevel="5">
      <c r="A189" s="78" t="str">
        <f>'Таблица №10'!A191</f>
        <v>Закупка товаров, работ и услуг для государственных (муниципальных) нужд</v>
      </c>
      <c r="B189" s="178" t="str">
        <f>'Таблица №10'!C191</f>
        <v>0702</v>
      </c>
      <c r="C189" s="178" t="str">
        <f>'Таблица №10'!D191</f>
        <v>02</v>
      </c>
      <c r="D189" s="178">
        <f>'Таблица №10'!E191</f>
        <v>4</v>
      </c>
      <c r="E189" s="178">
        <f>'Таблица №10'!F191</f>
        <v>200</v>
      </c>
      <c r="F189" s="94">
        <f>'Таблица №10'!G191</f>
        <v>9.457</v>
      </c>
      <c r="G189" s="94">
        <f>'Таблица №10'!H191</f>
        <v>9.457</v>
      </c>
      <c r="H189" s="163">
        <f t="shared" si="2"/>
        <v>100</v>
      </c>
    </row>
    <row r="190" spans="1:8" ht="24" outlineLevel="5">
      <c r="A190" s="78" t="str">
        <f>'Таблица №10'!A192</f>
        <v>Предоставление субсидий бюджетным, автономным учреждениям и иным некоммерческим организациям</v>
      </c>
      <c r="B190" s="178" t="str">
        <f>'Таблица №10'!C192</f>
        <v>0702</v>
      </c>
      <c r="C190" s="178" t="str">
        <f>'Таблица №10'!D192</f>
        <v>02</v>
      </c>
      <c r="D190" s="178">
        <f>'Таблица №10'!E192</f>
        <v>4</v>
      </c>
      <c r="E190" s="178">
        <f>'Таблица №10'!F192</f>
        <v>600</v>
      </c>
      <c r="F190" s="94">
        <f>'Таблица №10'!G192</f>
        <v>208.84487000000001</v>
      </c>
      <c r="G190" s="94">
        <f>'Таблица №10'!H192</f>
        <v>208.84487000000001</v>
      </c>
      <c r="H190" s="163">
        <f t="shared" si="2"/>
        <v>100</v>
      </c>
    </row>
    <row r="191" spans="1:8" ht="60" outlineLevel="5">
      <c r="A191" s="78" t="str">
        <f>'Таблица №10'!A193</f>
        <v>Предоставление субсидий бюджетным, автономным учреждениям и иным некоммерческим организациям (Приобретение и замена осветительных приборов, а также выполнение необходимых для этого работ в зданиях муниципальных образовательных организаций)</v>
      </c>
      <c r="B191" s="178" t="str">
        <f>'Таблица №10'!C193</f>
        <v>0702</v>
      </c>
      <c r="C191" s="178" t="str">
        <f>'Таблица №10'!D193</f>
        <v>02</v>
      </c>
      <c r="D191" s="178">
        <f>'Таблица №10'!E193</f>
        <v>4</v>
      </c>
      <c r="E191" s="178">
        <f>'Таблица №10'!F193</f>
        <v>600</v>
      </c>
      <c r="F191" s="94">
        <f>'Таблица №10'!G193</f>
        <v>1052.63158</v>
      </c>
      <c r="G191" s="94">
        <f>'Таблица №10'!H193</f>
        <v>1052.63158</v>
      </c>
      <c r="H191" s="163">
        <f t="shared" si="2"/>
        <v>100</v>
      </c>
    </row>
    <row r="192" spans="1:8" ht="36" hidden="1" outlineLevel="5">
      <c r="A192" s="78" t="str">
        <f>'Таблица №10'!A194</f>
        <v>Муниципальная программа "Развитие физической культуры и спорта в Алексеевском муниципальном районе на 2019-2023 годы"</v>
      </c>
      <c r="B192" s="178" t="str">
        <f>'Таблица №10'!C194</f>
        <v>0702</v>
      </c>
      <c r="C192" s="178" t="str">
        <f>'Таблица №10'!D194</f>
        <v>17</v>
      </c>
      <c r="D192" s="178">
        <f>'Таблица №10'!E194</f>
        <v>0</v>
      </c>
      <c r="E192" s="178"/>
      <c r="F192" s="94">
        <f>'Таблица №10'!G194</f>
        <v>0</v>
      </c>
      <c r="G192" s="94">
        <f>'Таблица №10'!H194</f>
        <v>0</v>
      </c>
      <c r="H192" s="163" t="e">
        <f t="shared" si="2"/>
        <v>#DIV/0!</v>
      </c>
    </row>
    <row r="193" spans="1:8" ht="84" hidden="1" outlineLevel="5">
      <c r="A193" s="78" t="str">
        <f>'Таблица №10'!A195</f>
        <v>Предоставление субсидий бюджетным, автономным учреждениям и иным некоммерческим организациям за счет субсидии из областного бюджета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3" s="178" t="str">
        <f>'Таблица №10'!C195</f>
        <v>0702</v>
      </c>
      <c r="C193" s="178" t="str">
        <f>'Таблица №10'!D195</f>
        <v>17</v>
      </c>
      <c r="D193" s="178">
        <f>'Таблица №10'!E195</f>
        <v>0</v>
      </c>
      <c r="E193" s="178">
        <f>'Таблица №10'!F195</f>
        <v>600</v>
      </c>
      <c r="F193" s="94">
        <f>'Таблица №10'!G195</f>
        <v>0</v>
      </c>
      <c r="G193" s="94">
        <f>'Таблица №10'!H195</f>
        <v>0</v>
      </c>
      <c r="H193" s="163" t="e">
        <f t="shared" si="2"/>
        <v>#DIV/0!</v>
      </c>
    </row>
    <row r="194" spans="1:8" ht="84" hidden="1" outlineLevel="5">
      <c r="A194" s="78" t="str">
        <f>'Таблица №10'!A196</f>
        <v>Предоставление субсидий бюджетным, автономным учреждениям и иным некоммерческим организациям на софинансирование мероприятий на Региональный проект " Создание в общеобразовательных организациях, расположенных в сельской местности и малых городах, условий для занятий физической культурой и спортом на 2020-2022 годы"</v>
      </c>
      <c r="B194" s="178" t="str">
        <f>'Таблица №10'!C196</f>
        <v>0702</v>
      </c>
      <c r="C194" s="178" t="str">
        <f>'Таблица №10'!D196</f>
        <v>17</v>
      </c>
      <c r="D194" s="178">
        <f>'Таблица №10'!E196</f>
        <v>0</v>
      </c>
      <c r="E194" s="178">
        <f>'Таблица №10'!F196</f>
        <v>600</v>
      </c>
      <c r="F194" s="94">
        <f>'Таблица №10'!G196</f>
        <v>0</v>
      </c>
      <c r="G194" s="94">
        <f>'Таблица №10'!H196</f>
        <v>0</v>
      </c>
      <c r="H194" s="163" t="e">
        <f t="shared" si="2"/>
        <v>#DIV/0!</v>
      </c>
    </row>
    <row r="195" spans="1:8" ht="96" outlineLevel="5">
      <c r="A195" s="78" t="str">
        <f>'Таблица №10'!A197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195" s="178" t="str">
        <f>'Таблица №10'!C197</f>
        <v>0702</v>
      </c>
      <c r="C195" s="178" t="str">
        <f>'Таблица №10'!D197</f>
        <v>22</v>
      </c>
      <c r="D195" s="178">
        <f>'Таблица №10'!E197</f>
        <v>0</v>
      </c>
      <c r="E195" s="178"/>
      <c r="F195" s="94">
        <f>'Таблица №10'!G197</f>
        <v>1101.8756</v>
      </c>
      <c r="G195" s="94">
        <f>'Таблица №10'!H197</f>
        <v>1101.8756</v>
      </c>
      <c r="H195" s="163">
        <f t="shared" si="2"/>
        <v>100</v>
      </c>
    </row>
    <row r="196" spans="1:8" ht="24" outlineLevel="5">
      <c r="A196" s="78" t="str">
        <f>'Таблица №10'!A198</f>
        <v>Закупка товаров, работ и услуг для государственных (муниципальных) нужд</v>
      </c>
      <c r="B196" s="178" t="str">
        <f>'Таблица №10'!C198</f>
        <v>0702</v>
      </c>
      <c r="C196" s="178" t="str">
        <f>'Таблица №10'!D198</f>
        <v>22</v>
      </c>
      <c r="D196" s="178">
        <f>'Таблица №10'!E198</f>
        <v>0</v>
      </c>
      <c r="E196" s="178">
        <f>'Таблица №10'!F198</f>
        <v>200</v>
      </c>
      <c r="F196" s="94">
        <f>'Таблица №10'!G198</f>
        <v>37.74771</v>
      </c>
      <c r="G196" s="94">
        <f>'Таблица №10'!H198</f>
        <v>37.74771</v>
      </c>
      <c r="H196" s="163">
        <f t="shared" si="2"/>
        <v>100</v>
      </c>
    </row>
    <row r="197" spans="1:8" ht="24" outlineLevel="5">
      <c r="A197" s="78" t="str">
        <f>'Таблица №10'!A199</f>
        <v>Предоставление субсидий бюджетным, автономным учреждениям и иным некоммерческим организациям</v>
      </c>
      <c r="B197" s="178" t="str">
        <f>'Таблица №10'!C199</f>
        <v>0702</v>
      </c>
      <c r="C197" s="178" t="str">
        <f>'Таблица №10'!D199</f>
        <v>22</v>
      </c>
      <c r="D197" s="178">
        <f>'Таблица №10'!E199</f>
        <v>0</v>
      </c>
      <c r="E197" s="178">
        <f>'Таблица №10'!F199</f>
        <v>600</v>
      </c>
      <c r="F197" s="94">
        <f>'Таблица №10'!G199</f>
        <v>1064.12789</v>
      </c>
      <c r="G197" s="94">
        <f>'Таблица №10'!H199</f>
        <v>1064.12789</v>
      </c>
      <c r="H197" s="163">
        <f t="shared" si="2"/>
        <v>100</v>
      </c>
    </row>
    <row r="198" spans="1:8" ht="36" outlineLevel="5">
      <c r="A198" s="78" t="str">
        <f>'Таблица №10'!A200</f>
        <v>Ведомственная целевая программа "Развитие образования детей на территории Алексеевского муниципального района на 2020-2022 годы"</v>
      </c>
      <c r="B198" s="178" t="str">
        <f>'Таблица №10'!C200</f>
        <v>0702</v>
      </c>
      <c r="C198" s="178" t="str">
        <f>'Таблица №10'!D200</f>
        <v>53</v>
      </c>
      <c r="D198" s="178">
        <f>'Таблица №10'!E200</f>
        <v>0</v>
      </c>
      <c r="E198" s="178"/>
      <c r="F198" s="94">
        <f>'Таблица №10'!G200</f>
        <v>183047.82117999997</v>
      </c>
      <c r="G198" s="94">
        <f>'Таблица №10'!H200</f>
        <v>181312.51721999998</v>
      </c>
      <c r="H198" s="163">
        <f t="shared" si="2"/>
        <v>99.05199420085225</v>
      </c>
    </row>
    <row r="199" spans="1:8" ht="12.75" outlineLevel="5">
      <c r="A199" s="78" t="str">
        <f>'Таблица №10'!A201</f>
        <v>Подпрограмма "Развитие общего образования детей"</v>
      </c>
      <c r="B199" s="178" t="str">
        <f>'Таблица №10'!C201</f>
        <v>0702</v>
      </c>
      <c r="C199" s="178" t="str">
        <f>'Таблица №10'!D201</f>
        <v>53</v>
      </c>
      <c r="D199" s="178">
        <f>'Таблица №10'!E201</f>
        <v>2</v>
      </c>
      <c r="E199" s="178" t="s">
        <v>9</v>
      </c>
      <c r="F199" s="94">
        <f>'Таблица №10'!G201</f>
        <v>183047.82117999997</v>
      </c>
      <c r="G199" s="94">
        <f>'Таблица №10'!H201</f>
        <v>181312.51721999998</v>
      </c>
      <c r="H199" s="163">
        <f t="shared" si="2"/>
        <v>99.05199420085225</v>
      </c>
    </row>
    <row r="200" spans="1:8" ht="12.75" outlineLevel="5">
      <c r="A200" s="78" t="str">
        <f>'Таблица №10'!A202</f>
        <v>За счет средств бюджета муниципального района</v>
      </c>
      <c r="B200" s="178" t="str">
        <f>'Таблица №10'!C202</f>
        <v>0702</v>
      </c>
      <c r="C200" s="178" t="str">
        <f>'Таблица №10'!D202</f>
        <v>53</v>
      </c>
      <c r="D200" s="178">
        <f>'Таблица №10'!E202</f>
        <v>2</v>
      </c>
      <c r="E200" s="178" t="s">
        <v>9</v>
      </c>
      <c r="F200" s="94">
        <f>'Таблица №10'!G202</f>
        <v>23495.51833</v>
      </c>
      <c r="G200" s="94">
        <f>'Таблица №10'!H202</f>
        <v>22491.57604</v>
      </c>
      <c r="H200" s="163">
        <f t="shared" si="2"/>
        <v>95.727090265048</v>
      </c>
    </row>
    <row r="201" spans="1:8" ht="48" outlineLevel="5">
      <c r="A201" s="78" t="str">
        <f>'Таблица №10'!A203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1" s="178" t="str">
        <f>'Таблица №10'!C203</f>
        <v>0702</v>
      </c>
      <c r="C201" s="178" t="str">
        <f>'Таблица №10'!D203</f>
        <v>53</v>
      </c>
      <c r="D201" s="178">
        <f>'Таблица №10'!E203</f>
        <v>2</v>
      </c>
      <c r="E201" s="178">
        <f>'Таблица №10'!F203</f>
        <v>100</v>
      </c>
      <c r="F201" s="94">
        <f>'Таблица №10'!G203</f>
        <v>125.55541</v>
      </c>
      <c r="G201" s="94">
        <f>'Таблица №10'!H203</f>
        <v>125.55541</v>
      </c>
      <c r="H201" s="163">
        <f t="shared" si="2"/>
        <v>100</v>
      </c>
    </row>
    <row r="202" spans="1:8" ht="24" outlineLevel="5">
      <c r="A202" s="78" t="str">
        <f>'Таблица №10'!A204</f>
        <v>Закупка товаров, работ и услуг для государственных (муниципальных) нужд</v>
      </c>
      <c r="B202" s="178" t="str">
        <f>'Таблица №10'!C204</f>
        <v>0702</v>
      </c>
      <c r="C202" s="178" t="str">
        <f>'Таблица №10'!D204</f>
        <v>53</v>
      </c>
      <c r="D202" s="178">
        <f>'Таблица №10'!E204</f>
        <v>2</v>
      </c>
      <c r="E202" s="178">
        <f>'Таблица №10'!F204</f>
        <v>200</v>
      </c>
      <c r="F202" s="94">
        <f>'Таблица №10'!G204</f>
        <v>295.54977</v>
      </c>
      <c r="G202" s="94">
        <f>'Таблица №10'!H204</f>
        <v>295.54977</v>
      </c>
      <c r="H202" s="163">
        <f aca="true" t="shared" si="3" ref="H202:H265">SUM(G202/F202)*100</f>
        <v>100</v>
      </c>
    </row>
    <row r="203" spans="1:8" ht="48" outlineLevel="5">
      <c r="A203" s="78" t="str">
        <f>'Таблица №10'!A205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3" s="178" t="str">
        <f>'Таблица №10'!C205</f>
        <v>0702</v>
      </c>
      <c r="C203" s="178" t="str">
        <f>'Таблица №10'!D205</f>
        <v>53</v>
      </c>
      <c r="D203" s="178">
        <f>'Таблица №10'!E205</f>
        <v>2</v>
      </c>
      <c r="E203" s="178">
        <f>'Таблица №10'!F205</f>
        <v>200</v>
      </c>
      <c r="F203" s="94">
        <f>'Таблица №10'!G205</f>
        <v>27.774389999999997</v>
      </c>
      <c r="G203" s="94">
        <f>'Таблица №10'!H205</f>
        <v>27.774389999999997</v>
      </c>
      <c r="H203" s="163">
        <f t="shared" si="3"/>
        <v>100</v>
      </c>
    </row>
    <row r="204" spans="1:8" ht="48" outlineLevel="5">
      <c r="A204" s="78" t="str">
        <f>'Таблица №10'!A205</f>
        <v>Закупка товаров, работ и услуг для государственных (муниципальных) нужд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4" s="178" t="str">
        <f>'Таблица №10'!C205</f>
        <v>0702</v>
      </c>
      <c r="C204" s="178" t="str">
        <f>'Таблица №10'!D205</f>
        <v>53</v>
      </c>
      <c r="D204" s="178">
        <f>'Таблица №10'!E205</f>
        <v>2</v>
      </c>
      <c r="E204" s="178" t="s">
        <v>150</v>
      </c>
      <c r="F204" s="94">
        <f>'Таблица №10'!G205</f>
        <v>27.774389999999997</v>
      </c>
      <c r="G204" s="94">
        <f>'Таблица №10'!H205</f>
        <v>27.774389999999997</v>
      </c>
      <c r="H204" s="163">
        <f t="shared" si="3"/>
        <v>100</v>
      </c>
    </row>
    <row r="205" spans="1:8" ht="12.75" outlineLevel="5">
      <c r="A205" s="78" t="str">
        <f>'Таблица №10'!A206</f>
        <v>Иные бюджетные ассигнования</v>
      </c>
      <c r="B205" s="178" t="str">
        <f>'Таблица №10'!C206</f>
        <v>0702</v>
      </c>
      <c r="C205" s="178" t="str">
        <f>'Таблица №10'!D206</f>
        <v>53</v>
      </c>
      <c r="D205" s="178">
        <f>'Таблица №10'!E206</f>
        <v>2</v>
      </c>
      <c r="E205" s="178">
        <f>'Таблица №10'!F206</f>
        <v>800</v>
      </c>
      <c r="F205" s="94">
        <f>'Таблица №10'!G206</f>
        <v>26.68771</v>
      </c>
      <c r="G205" s="94">
        <f>'Таблица №10'!H206</f>
        <v>26.68771</v>
      </c>
      <c r="H205" s="163">
        <f t="shared" si="3"/>
        <v>100</v>
      </c>
    </row>
    <row r="206" spans="1:8" ht="26.25" customHeight="1" outlineLevel="5">
      <c r="A206" s="78" t="str">
        <f>'Таблица №10'!A207</f>
        <v>Предоставление субсидий бюджетным, автономным учреждениям и иным некоммерческим организациям</v>
      </c>
      <c r="B206" s="178" t="str">
        <f>'Таблица №10'!C207</f>
        <v>0702</v>
      </c>
      <c r="C206" s="178" t="str">
        <f>'Таблица №10'!D207</f>
        <v>53</v>
      </c>
      <c r="D206" s="178">
        <f>'Таблица №10'!E207</f>
        <v>2</v>
      </c>
      <c r="E206" s="178">
        <f>'Таблица №10'!F207</f>
        <v>600</v>
      </c>
      <c r="F206" s="94">
        <f>'Таблица №10'!G207</f>
        <v>21077.64449</v>
      </c>
      <c r="G206" s="94">
        <f>'Таблица №10'!H207</f>
        <v>20073.7022</v>
      </c>
      <c r="H206" s="163">
        <f t="shared" si="3"/>
        <v>95.23693318541213</v>
      </c>
    </row>
    <row r="207" spans="1:8" ht="26.25" customHeight="1" outlineLevel="5">
      <c r="A207" s="78" t="str">
        <f>'Таблица №10'!A208</f>
        <v>Предоставление субсидий бюджетным, автономным учреждениям и иным некоммерческим организациям (софинансирование реализации мероприятий по организации бесплатного горячего питания обучающихся, получающих начальное общее образование)</v>
      </c>
      <c r="B207" s="178" t="str">
        <f>'Таблица №10'!C208</f>
        <v>0702</v>
      </c>
      <c r="C207" s="178" t="str">
        <f>'Таблица №10'!D208</f>
        <v>53</v>
      </c>
      <c r="D207" s="178">
        <f>'Таблица №10'!E208</f>
        <v>2</v>
      </c>
      <c r="E207" s="178">
        <f>'Таблица №10'!F208</f>
        <v>600</v>
      </c>
      <c r="F207" s="94">
        <f>'Таблица №10'!G208</f>
        <v>1942.30656</v>
      </c>
      <c r="G207" s="94">
        <f>'Таблица №10'!H208</f>
        <v>1942.30656</v>
      </c>
      <c r="H207" s="163">
        <f t="shared" si="3"/>
        <v>100</v>
      </c>
    </row>
    <row r="208" spans="1:8" ht="12.75" outlineLevel="5">
      <c r="A208" s="78" t="str">
        <f>'Таблица №10'!A209</f>
        <v>За счет средств областного бюджета </v>
      </c>
      <c r="B208" s="178" t="str">
        <f>'Таблица №10'!C209</f>
        <v>0702</v>
      </c>
      <c r="C208" s="178" t="str">
        <f>'Таблица №10'!D209</f>
        <v>53</v>
      </c>
      <c r="D208" s="178">
        <f>'Таблица №10'!E209</f>
        <v>2</v>
      </c>
      <c r="E208" s="178" t="s">
        <v>9</v>
      </c>
      <c r="F208" s="94">
        <f>'Таблица №10'!G209</f>
        <v>159552.30284999998</v>
      </c>
      <c r="G208" s="94">
        <f>'Таблица №10'!H209</f>
        <v>158820.94118</v>
      </c>
      <c r="H208" s="163">
        <f t="shared" si="3"/>
        <v>99.54161634966337</v>
      </c>
    </row>
    <row r="209" spans="1:8" ht="38.25" customHeight="1" outlineLevel="5">
      <c r="A209" s="78" t="str">
        <f>'Таблица №10'!A210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09" s="178" t="str">
        <f>'Таблица №10'!C210</f>
        <v>0702</v>
      </c>
      <c r="C209" s="178" t="str">
        <f>'Таблица №10'!D210</f>
        <v>53</v>
      </c>
      <c r="D209" s="178">
        <f>'Таблица №10'!E210</f>
        <v>2</v>
      </c>
      <c r="E209" s="178">
        <f>'Таблица №10'!F210</f>
        <v>100</v>
      </c>
      <c r="F209" s="94">
        <f>'Таблица №10'!G210</f>
        <v>4428.9</v>
      </c>
      <c r="G209" s="94">
        <f>'Таблица №10'!H210</f>
        <v>4428.9</v>
      </c>
      <c r="H209" s="163">
        <f t="shared" si="3"/>
        <v>100</v>
      </c>
    </row>
    <row r="210" spans="1:8" ht="4.5" customHeight="1" hidden="1" outlineLevel="5">
      <c r="A210" s="78" t="str">
        <f>'Таблица №10'!A211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за счет средств областного бюджета </v>
      </c>
      <c r="B210" s="178" t="str">
        <f>'Таблица №10'!C211</f>
        <v>0702</v>
      </c>
      <c r="C210" s="178" t="str">
        <f>'Таблица №10'!D211</f>
        <v>53</v>
      </c>
      <c r="D210" s="178">
        <f>'Таблица №10'!E211</f>
        <v>2</v>
      </c>
      <c r="E210" s="178">
        <f>'Таблица №10'!F211</f>
        <v>100</v>
      </c>
      <c r="F210" s="94">
        <f>'Таблица №10'!G211</f>
        <v>0</v>
      </c>
      <c r="G210" s="94">
        <f>'Таблица №10'!H211</f>
        <v>0</v>
      </c>
      <c r="H210" s="163" t="e">
        <f t="shared" si="3"/>
        <v>#DIV/0!</v>
      </c>
    </row>
    <row r="211" spans="1:8" ht="36" outlineLevel="5">
      <c r="A211" s="78" t="str">
        <f>'Таблица №10'!A212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1" s="178" t="str">
        <f>'Таблица №10'!C212</f>
        <v>0702</v>
      </c>
      <c r="C211" s="178" t="str">
        <f>'Таблица №10'!D212</f>
        <v>53</v>
      </c>
      <c r="D211" s="178">
        <f>'Таблица №10'!E212</f>
        <v>2</v>
      </c>
      <c r="E211" s="178">
        <f>'Таблица №10'!F212</f>
        <v>100</v>
      </c>
      <c r="F211" s="94">
        <f>'Таблица №10'!G212</f>
        <v>573.242</v>
      </c>
      <c r="G211" s="94">
        <f>'Таблица №10'!H212</f>
        <v>573.242</v>
      </c>
      <c r="H211" s="163">
        <f t="shared" si="3"/>
        <v>100</v>
      </c>
    </row>
    <row r="212" spans="1:8" ht="30" customHeight="1" outlineLevel="5">
      <c r="A212" s="78" t="str">
        <f>'Таблица №10'!A213</f>
        <v>Закупка товаров, работ и услуг для государственных (муниципальных) нужд</v>
      </c>
      <c r="B212" s="178" t="str">
        <f>'Таблица №10'!C213</f>
        <v>0702</v>
      </c>
      <c r="C212" s="178" t="str">
        <f>'Таблица №10'!D213</f>
        <v>53</v>
      </c>
      <c r="D212" s="178">
        <f>'Таблица №10'!E213</f>
        <v>2</v>
      </c>
      <c r="E212" s="178">
        <f>'Таблица №10'!F213</f>
        <v>200</v>
      </c>
      <c r="F212" s="94">
        <f>'Таблица №10'!G213</f>
        <v>30.383999999999986</v>
      </c>
      <c r="G212" s="94">
        <f>'Таблица №10'!H213</f>
        <v>30.383999999999986</v>
      </c>
      <c r="H212" s="163">
        <f t="shared" si="3"/>
        <v>100</v>
      </c>
    </row>
    <row r="213" spans="1:8" ht="17.25" customHeight="1" outlineLevel="5">
      <c r="A213" s="78" t="str">
        <f>'Таблица №10'!A214</f>
        <v>За счет средств областного бюджета на питание</v>
      </c>
      <c r="B213" s="178" t="str">
        <f>'Таблица №10'!C214</f>
        <v>0702</v>
      </c>
      <c r="C213" s="178" t="str">
        <f>'Таблица №10'!D214</f>
        <v>53</v>
      </c>
      <c r="D213" s="178">
        <f>'Таблица №10'!E214</f>
        <v>2</v>
      </c>
      <c r="E213" s="178">
        <f>'Таблица №10'!F214</f>
        <v>200</v>
      </c>
      <c r="F213" s="94">
        <f>'Таблица №10'!G214</f>
        <v>72.13113</v>
      </c>
      <c r="G213" s="94">
        <f>'Таблица №10'!H214</f>
        <v>72.13113</v>
      </c>
      <c r="H213" s="163">
        <f t="shared" si="3"/>
        <v>100</v>
      </c>
    </row>
    <row r="214" spans="1:8" ht="24.75" customHeight="1" outlineLevel="5">
      <c r="A214" s="78" t="str">
        <f>'Таблица №10'!A215</f>
        <v>Закупка товаров, работ и услуг для государственных (муниципальных) нужд (реализация мероприятий по организации бесплатного горячего питания обучающихся, получающих начальное общее образование)</v>
      </c>
      <c r="B214" s="178" t="str">
        <f>'Таблица №10'!C215</f>
        <v>0702</v>
      </c>
      <c r="C214" s="178" t="str">
        <f>'Таблица №10'!D215</f>
        <v>53</v>
      </c>
      <c r="D214" s="178">
        <f>'Таблица №10'!E215</f>
        <v>2</v>
      </c>
      <c r="E214" s="178">
        <f>'Таблица №10'!F215</f>
        <v>200</v>
      </c>
      <c r="F214" s="94">
        <f>'Таблица №10'!G215</f>
        <v>85.22147</v>
      </c>
      <c r="G214" s="94">
        <f>'Таблица №10'!H215</f>
        <v>85.22147</v>
      </c>
      <c r="H214" s="163">
        <f t="shared" si="3"/>
        <v>100</v>
      </c>
    </row>
    <row r="215" spans="1:8" ht="60" outlineLevel="5">
      <c r="A215" s="78" t="str">
        <f>'Таблица №10'!A216</f>
        <v>Предоставление субсидий бюджетным, автономным учреждениям и иным некоммерческим организациям (реализация мероприятий по организации бесплатного горячего питания обучающихся, получающих начальное общее образование)</v>
      </c>
      <c r="B215" s="178" t="str">
        <f>'Таблица №10'!C216</f>
        <v>0702</v>
      </c>
      <c r="C215" s="178" t="str">
        <f>'Таблица №10'!D216</f>
        <v>53</v>
      </c>
      <c r="D215" s="178">
        <f>'Таблица №10'!E216</f>
        <v>2</v>
      </c>
      <c r="E215" s="178">
        <f>'Таблица №10'!F216</f>
        <v>600</v>
      </c>
      <c r="F215" s="94">
        <f>'Таблица №10'!G216</f>
        <v>5959.672960000001</v>
      </c>
      <c r="G215" s="94">
        <f>'Таблица №10'!H216</f>
        <v>5959.672960000001</v>
      </c>
      <c r="H215" s="163">
        <f t="shared" si="3"/>
        <v>100</v>
      </c>
    </row>
    <row r="216" spans="1:8" ht="24" outlineLevel="5">
      <c r="A216" s="78" t="str">
        <f>'Таблица №10'!A217</f>
        <v>За счет средств областного бюджета на образовательный процесс</v>
      </c>
      <c r="B216" s="178" t="str">
        <f>'Таблица №10'!C217</f>
        <v>0702</v>
      </c>
      <c r="C216" s="178" t="str">
        <f>'Таблица №10'!D217</f>
        <v>53</v>
      </c>
      <c r="D216" s="178">
        <f>'Таблица №10'!E217</f>
        <v>2</v>
      </c>
      <c r="E216" s="178">
        <f>'Таблица №10'!F217</f>
        <v>600</v>
      </c>
      <c r="F216" s="94">
        <f>'Таблица №10'!G217</f>
        <v>130075.21599999999</v>
      </c>
      <c r="G216" s="94">
        <f>'Таблица №10'!H217</f>
        <v>129343.85433</v>
      </c>
      <c r="H216" s="163">
        <f t="shared" si="3"/>
        <v>99.43773941532415</v>
      </c>
    </row>
    <row r="217" spans="1:8" ht="48" hidden="1" outlineLevel="5">
      <c r="A217" s="78" t="str">
        <f>'Таблица №10'!A218</f>
        <v>Субсидии бюджетным учреждениям на финансовое обеспечение погашения задолженности по денежным обязательствам, возникшим и неоплаченным на 01.01.2021 г.  за счет средств областного бюджета </v>
      </c>
      <c r="B217" s="178" t="str">
        <f>'Таблица №10'!C218</f>
        <v>0702</v>
      </c>
      <c r="C217" s="178" t="str">
        <f>'Таблица №10'!D218</f>
        <v>53</v>
      </c>
      <c r="D217" s="178">
        <f>'Таблица №10'!E218</f>
        <v>2</v>
      </c>
      <c r="E217" s="178">
        <f>'Таблица №10'!F218</f>
        <v>600</v>
      </c>
      <c r="F217" s="94">
        <f>'Таблица №10'!G218</f>
        <v>0</v>
      </c>
      <c r="G217" s="94">
        <f>'Таблица №10'!H218</f>
        <v>0</v>
      </c>
      <c r="H217" s="163" t="e">
        <f t="shared" si="3"/>
        <v>#DIV/0!</v>
      </c>
    </row>
    <row r="218" spans="1:8" ht="36" outlineLevel="5">
      <c r="A218" s="78" t="str">
        <f>'Таблица №10'!A219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B218" s="178" t="str">
        <f>'Таблица №10'!C219</f>
        <v>0702</v>
      </c>
      <c r="C218" s="178" t="str">
        <f>'Таблица №10'!D219</f>
        <v>53</v>
      </c>
      <c r="D218" s="178">
        <f>'Таблица №10'!E219</f>
        <v>2</v>
      </c>
      <c r="E218" s="178">
        <f>'Таблица №10'!F219</f>
        <v>600</v>
      </c>
      <c r="F218" s="94">
        <f>'Таблица №10'!G219</f>
        <v>13096.513979999998</v>
      </c>
      <c r="G218" s="94">
        <f>'Таблица №10'!H219</f>
        <v>13096.513979999998</v>
      </c>
      <c r="H218" s="163">
        <f t="shared" si="3"/>
        <v>100</v>
      </c>
    </row>
    <row r="219" spans="1:8" ht="12.75" outlineLevel="5">
      <c r="A219" s="78" t="str">
        <f>'Таблица №10'!A220</f>
        <v>За счет средств областного бюджета на питание</v>
      </c>
      <c r="B219" s="178" t="str">
        <f>'Таблица №10'!C220</f>
        <v>0702</v>
      </c>
      <c r="C219" s="178" t="str">
        <f>'Таблица №10'!D220</f>
        <v>53</v>
      </c>
      <c r="D219" s="178">
        <f>'Таблица №10'!E220</f>
        <v>2</v>
      </c>
      <c r="E219" s="178">
        <f>'Таблица №10'!F220</f>
        <v>600</v>
      </c>
      <c r="F219" s="94">
        <f>'Таблица №10'!G220</f>
        <v>5094.36887</v>
      </c>
      <c r="G219" s="94">
        <f>'Таблица №10'!H220</f>
        <v>5094.36887</v>
      </c>
      <c r="H219" s="163">
        <f t="shared" si="3"/>
        <v>100</v>
      </c>
    </row>
    <row r="220" spans="1:8" ht="24" outlineLevel="5">
      <c r="A220" s="78" t="str">
        <f>'Таблица №10'!A221</f>
        <v>За счет средств на расходы на осуществление социальных гарантий молодым специалистам</v>
      </c>
      <c r="B220" s="178" t="str">
        <f>'Таблица №10'!C221</f>
        <v>0702</v>
      </c>
      <c r="C220" s="178" t="str">
        <f>'Таблица №10'!D221</f>
        <v>53</v>
      </c>
      <c r="D220" s="178">
        <f>'Таблица №10'!E221</f>
        <v>2</v>
      </c>
      <c r="E220" s="178">
        <f>'Таблица №10'!F221</f>
        <v>600</v>
      </c>
      <c r="F220" s="94">
        <f>'Таблица №10'!G221</f>
        <v>136.65244</v>
      </c>
      <c r="G220" s="94">
        <f>'Таблица №10'!H221</f>
        <v>136.65244</v>
      </c>
      <c r="H220" s="163">
        <f t="shared" si="3"/>
        <v>100</v>
      </c>
    </row>
    <row r="221" spans="1:8" ht="14.25" customHeight="1" outlineLevel="5">
      <c r="A221" s="78" t="str">
        <f>'Таблица №10'!A222</f>
        <v>Дополнительное образование детей</v>
      </c>
      <c r="B221" s="178" t="str">
        <f>'Таблица №10'!C222</f>
        <v>0703</v>
      </c>
      <c r="C221" s="178"/>
      <c r="D221" s="178"/>
      <c r="E221" s="178"/>
      <c r="F221" s="94">
        <f>'Таблица №10'!G222</f>
        <v>10277.70144</v>
      </c>
      <c r="G221" s="94">
        <f>'Таблица №10'!H222</f>
        <v>10277.70144</v>
      </c>
      <c r="H221" s="163">
        <f t="shared" si="3"/>
        <v>100</v>
      </c>
    </row>
    <row r="222" spans="1:8" ht="2.25" customHeight="1" hidden="1" outlineLevel="5">
      <c r="A222" s="78" t="str">
        <f>'Таблица №10'!A223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22" s="178" t="str">
        <f>'Таблица №10'!C223</f>
        <v>0703</v>
      </c>
      <c r="C222" s="178" t="str">
        <f>'Таблица №10'!D223</f>
        <v>02</v>
      </c>
      <c r="D222" s="178">
        <f>'Таблица №10'!E223</f>
        <v>0</v>
      </c>
      <c r="E222" s="178"/>
      <c r="F222" s="94">
        <f>'Таблица №10'!G223</f>
        <v>0</v>
      </c>
      <c r="G222" s="94">
        <f>'Таблица №10'!H223</f>
        <v>0</v>
      </c>
      <c r="H222" s="163" t="e">
        <f t="shared" si="3"/>
        <v>#DIV/0!</v>
      </c>
    </row>
    <row r="223" spans="1:8" ht="42" customHeight="1" hidden="1" outlineLevel="5">
      <c r="A223" s="78" t="str">
        <f>'Таблица №10'!A224</f>
        <v>Подпрограмма "Строительство, реконструкция и ремонт объектов муниципальной собственности Алексеевского муниципального района"</v>
      </c>
      <c r="B223" s="178" t="str">
        <f>'Таблица №10'!C224</f>
        <v>0703</v>
      </c>
      <c r="C223" s="178" t="str">
        <f>'Таблица №10'!D224</f>
        <v>02</v>
      </c>
      <c r="D223" s="178">
        <f>'Таблица №10'!E224</f>
        <v>3</v>
      </c>
      <c r="E223" s="178"/>
      <c r="F223" s="94">
        <f>'Таблица №10'!G224</f>
        <v>0</v>
      </c>
      <c r="G223" s="94">
        <f>'Таблица №10'!H224</f>
        <v>0</v>
      </c>
      <c r="H223" s="163" t="e">
        <f t="shared" si="3"/>
        <v>#DIV/0!</v>
      </c>
    </row>
    <row r="224" spans="1:8" ht="24" hidden="1" outlineLevel="5">
      <c r="A224" s="78" t="str">
        <f>'Таблица №10'!A225</f>
        <v>Предоставление субсидий бюджетным, автономным учреждениям и иным некоммерческим организациям</v>
      </c>
      <c r="B224" s="178" t="str">
        <f>'Таблица №10'!C225</f>
        <v>0703</v>
      </c>
      <c r="C224" s="178" t="str">
        <f>'Таблица №10'!D225</f>
        <v>02</v>
      </c>
      <c r="D224" s="178">
        <f>'Таблица №10'!E225</f>
        <v>3</v>
      </c>
      <c r="E224" s="178">
        <f>'Таблица №10'!F225</f>
        <v>600</v>
      </c>
      <c r="F224" s="94">
        <f>'Таблица №10'!G225</f>
        <v>0</v>
      </c>
      <c r="G224" s="94">
        <f>'Таблица №10'!H225</f>
        <v>0</v>
      </c>
      <c r="H224" s="163" t="e">
        <f t="shared" si="3"/>
        <v>#DIV/0!</v>
      </c>
    </row>
    <row r="225" spans="1:8" ht="37.5" customHeight="1" outlineLevel="5">
      <c r="A225" s="78" t="str">
        <f>'Таблица №10'!A226</f>
        <v>Ведомственная целевая программа "Развитие образования детей на территории Алексеевского муниципального района на 2020-2022 годы"</v>
      </c>
      <c r="B225" s="178" t="str">
        <f>'Таблица №10'!C226</f>
        <v>0703</v>
      </c>
      <c r="C225" s="178" t="str">
        <f>'Таблица №10'!D226</f>
        <v>53</v>
      </c>
      <c r="D225" s="178">
        <f>'Таблица №10'!E226</f>
        <v>0</v>
      </c>
      <c r="E225" s="178"/>
      <c r="F225" s="94">
        <f>'Таблица №10'!G226</f>
        <v>10277.70144</v>
      </c>
      <c r="G225" s="94">
        <f>'Таблица №10'!H226</f>
        <v>10277.70144</v>
      </c>
      <c r="H225" s="163">
        <f t="shared" si="3"/>
        <v>100</v>
      </c>
    </row>
    <row r="226" spans="1:8" ht="15" customHeight="1" outlineLevel="5">
      <c r="A226" s="78" t="str">
        <f>'Таблица №10'!A227</f>
        <v>Подпрограмма "Развитие дополнительного образования детей"</v>
      </c>
      <c r="B226" s="178" t="str">
        <f>'Таблица №10'!C227</f>
        <v>0703</v>
      </c>
      <c r="C226" s="178" t="str">
        <f>'Таблица №10'!D227</f>
        <v>53</v>
      </c>
      <c r="D226" s="178">
        <f>'Таблица №10'!E227</f>
        <v>3</v>
      </c>
      <c r="E226" s="178" t="s">
        <v>9</v>
      </c>
      <c r="F226" s="94">
        <f>'Таблица №10'!G227</f>
        <v>10277.70144</v>
      </c>
      <c r="G226" s="94">
        <f>'Таблица №10'!H227</f>
        <v>10277.70144</v>
      </c>
      <c r="H226" s="163">
        <f t="shared" si="3"/>
        <v>100</v>
      </c>
    </row>
    <row r="227" spans="1:8" ht="24" outlineLevel="5">
      <c r="A227" s="78" t="str">
        <f>'Таблица №10'!A228</f>
        <v>Предоставление субсидий бюджетным, автономным учреждениям и иным некоммерческим организациям (ДШИ)</v>
      </c>
      <c r="B227" s="178" t="str">
        <f>'Таблица №10'!C228</f>
        <v>0703</v>
      </c>
      <c r="C227" s="178" t="str">
        <f>'Таблица №10'!D228</f>
        <v>53</v>
      </c>
      <c r="D227" s="178">
        <f>'Таблица №10'!E228</f>
        <v>3</v>
      </c>
      <c r="E227" s="178">
        <f>'Таблица №10'!F228</f>
        <v>600</v>
      </c>
      <c r="F227" s="94">
        <f>'Таблица №10'!G228</f>
        <v>5519.99378</v>
      </c>
      <c r="G227" s="94">
        <f>'Таблица №10'!H228</f>
        <v>5519.99378</v>
      </c>
      <c r="H227" s="163">
        <f t="shared" si="3"/>
        <v>100</v>
      </c>
    </row>
    <row r="228" spans="1:8" ht="39.75" customHeight="1" outlineLevel="5">
      <c r="A228" s="78" t="str">
        <f>'Таблица №10'!A229</f>
        <v>Предоставление субсидий бюджетным, автономным учреждениям и иным некоммерческим организациям (ДЮСШ)</v>
      </c>
      <c r="B228" s="178" t="str">
        <f>'Таблица №10'!C229</f>
        <v>0703</v>
      </c>
      <c r="C228" s="178" t="str">
        <f>'Таблица №10'!D229</f>
        <v>53</v>
      </c>
      <c r="D228" s="178">
        <f>'Таблица №10'!E229</f>
        <v>3</v>
      </c>
      <c r="E228" s="178">
        <f>'Таблица №10'!F229</f>
        <v>600</v>
      </c>
      <c r="F228" s="94">
        <f>'Таблица №10'!G229</f>
        <v>4757.70766</v>
      </c>
      <c r="G228" s="94">
        <f>'Таблица №10'!H229</f>
        <v>4757.70766</v>
      </c>
      <c r="H228" s="163">
        <f t="shared" si="3"/>
        <v>100</v>
      </c>
    </row>
    <row r="229" spans="1:8" ht="12.75" outlineLevel="5">
      <c r="A229" s="78" t="str">
        <f>'Таблица №10'!A230</f>
        <v>Молодежная политика </v>
      </c>
      <c r="B229" s="178" t="str">
        <f>'Таблица №10'!C230</f>
        <v>0707</v>
      </c>
      <c r="C229" s="178">
        <f>'Таблица №10'!D230</f>
      </c>
      <c r="D229" s="178">
        <f>'Таблица №10'!E230</f>
      </c>
      <c r="E229" s="178"/>
      <c r="F229" s="94">
        <f>'Таблица №10'!G230</f>
        <v>6832.51025</v>
      </c>
      <c r="G229" s="94">
        <f>'Таблица №10'!H230</f>
        <v>6832.51025</v>
      </c>
      <c r="H229" s="163">
        <f t="shared" si="3"/>
        <v>100</v>
      </c>
    </row>
    <row r="230" spans="1:8" ht="25.5" customHeight="1" outlineLevel="5">
      <c r="A230" s="78" t="str">
        <f>'Таблица №10'!A231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230" s="178" t="str">
        <f>'Таблица №10'!C231</f>
        <v>0707</v>
      </c>
      <c r="C230" s="178" t="str">
        <f>'Таблица №10'!D231</f>
        <v>07</v>
      </c>
      <c r="D230" s="178">
        <f>'Таблица №10'!E231</f>
        <v>0</v>
      </c>
      <c r="E230" s="178"/>
      <c r="F230" s="94">
        <f>'Таблица №10'!G231</f>
        <v>60</v>
      </c>
      <c r="G230" s="94">
        <f>'Таблица №10'!H231</f>
        <v>60</v>
      </c>
      <c r="H230" s="163">
        <f t="shared" si="3"/>
        <v>100</v>
      </c>
    </row>
    <row r="231" spans="1:8" ht="24" outlineLevel="5">
      <c r="A231" s="78" t="str">
        <f>'Таблица №10'!A232</f>
        <v>Подпрограмма "Комплексные меры по противодействию наркомании"</v>
      </c>
      <c r="B231" s="178" t="str">
        <f>'Таблица №10'!C232</f>
        <v>0707</v>
      </c>
      <c r="C231" s="178" t="str">
        <f>'Таблица №10'!D232</f>
        <v>07</v>
      </c>
      <c r="D231" s="178">
        <f>'Таблица №10'!E232</f>
        <v>1</v>
      </c>
      <c r="E231" s="178"/>
      <c r="F231" s="94">
        <f>'Таблица №10'!G232</f>
        <v>20</v>
      </c>
      <c r="G231" s="94">
        <f>'Таблица №10'!H232</f>
        <v>20</v>
      </c>
      <c r="H231" s="163">
        <f t="shared" si="3"/>
        <v>100</v>
      </c>
    </row>
    <row r="232" spans="1:8" ht="27" customHeight="1" outlineLevel="5">
      <c r="A232" s="78" t="str">
        <f>'Таблица №10'!A233</f>
        <v>Закупка товаров, работ и услуг для государственных (муниципальных) нужд</v>
      </c>
      <c r="B232" s="178" t="str">
        <f>'Таблица №10'!C233</f>
        <v>0707</v>
      </c>
      <c r="C232" s="178" t="str">
        <f>'Таблица №10'!D233</f>
        <v>07</v>
      </c>
      <c r="D232" s="178">
        <f>'Таблица №10'!E233</f>
        <v>1</v>
      </c>
      <c r="E232" s="178">
        <f>'Таблица №10'!F233</f>
        <v>200</v>
      </c>
      <c r="F232" s="94">
        <f>'Таблица №10'!G233</f>
        <v>20</v>
      </c>
      <c r="G232" s="94">
        <f>'Таблица №10'!H233</f>
        <v>20</v>
      </c>
      <c r="H232" s="163">
        <f t="shared" si="3"/>
        <v>100</v>
      </c>
    </row>
    <row r="233" spans="1:8" ht="27.75" customHeight="1" outlineLevel="5">
      <c r="A233" s="78" t="str">
        <f>'Таблица №10'!A234</f>
        <v>Подпрограмма "Реализация мероприятий молодежной политики и социальной адаптации молодежи "</v>
      </c>
      <c r="B233" s="178" t="str">
        <f>'Таблица №10'!C234</f>
        <v>0707</v>
      </c>
      <c r="C233" s="178" t="str">
        <f>'Таблица №10'!D234</f>
        <v>07</v>
      </c>
      <c r="D233" s="178">
        <f>'Таблица №10'!E234</f>
        <v>2</v>
      </c>
      <c r="E233" s="178"/>
      <c r="F233" s="94">
        <f>'Таблица №10'!G234</f>
        <v>30</v>
      </c>
      <c r="G233" s="94">
        <f>'Таблица №10'!H234</f>
        <v>30</v>
      </c>
      <c r="H233" s="163">
        <f t="shared" si="3"/>
        <v>100</v>
      </c>
    </row>
    <row r="234" spans="1:8" ht="24" customHeight="1" outlineLevel="5">
      <c r="A234" s="78" t="str">
        <f>'Таблица №10'!A235</f>
        <v>Закупка товаров, работ и услуг для государственных (муниципальных) нужд</v>
      </c>
      <c r="B234" s="178" t="str">
        <f>'Таблица №10'!C235</f>
        <v>0707</v>
      </c>
      <c r="C234" s="178" t="str">
        <f>'Таблица №10'!D235</f>
        <v>07</v>
      </c>
      <c r="D234" s="178">
        <f>'Таблица №10'!E235</f>
        <v>2</v>
      </c>
      <c r="E234" s="178">
        <f>'Таблица №10'!F235</f>
        <v>200</v>
      </c>
      <c r="F234" s="94">
        <f>'Таблица №10'!G235</f>
        <v>30</v>
      </c>
      <c r="G234" s="94">
        <f>'Таблица №10'!H235</f>
        <v>30</v>
      </c>
      <c r="H234" s="163">
        <f t="shared" si="3"/>
        <v>100</v>
      </c>
    </row>
    <row r="235" spans="1:8" ht="24" outlineLevel="5">
      <c r="A235" s="78" t="str">
        <f>'Таблица №10'!A236</f>
        <v>Подпрограмма " Профилактика безнадзорности, правонарушений и неблагополучия несовершеннолетних"</v>
      </c>
      <c r="B235" s="178" t="str">
        <f>'Таблица №10'!C236</f>
        <v>0707</v>
      </c>
      <c r="C235" s="178" t="str">
        <f>'Таблица №10'!D236</f>
        <v>07</v>
      </c>
      <c r="D235" s="178">
        <f>'Таблица №10'!E236</f>
        <v>3</v>
      </c>
      <c r="E235" s="178"/>
      <c r="F235" s="94">
        <f>'Таблица №10'!G236</f>
        <v>10</v>
      </c>
      <c r="G235" s="94">
        <f>'Таблица №10'!H236</f>
        <v>10</v>
      </c>
      <c r="H235" s="163">
        <f t="shared" si="3"/>
        <v>100</v>
      </c>
    </row>
    <row r="236" spans="1:8" ht="23.25" customHeight="1" outlineLevel="5">
      <c r="A236" s="78" t="str">
        <f>'Таблица №10'!A237</f>
        <v>Закупка товаров, работ и услуг для государственных (муниципальных) нужд</v>
      </c>
      <c r="B236" s="178" t="str">
        <f>'Таблица №10'!C237</f>
        <v>0707</v>
      </c>
      <c r="C236" s="178" t="str">
        <f>'Таблица №10'!D237</f>
        <v>07</v>
      </c>
      <c r="D236" s="178">
        <f>'Таблица №10'!E237</f>
        <v>3</v>
      </c>
      <c r="E236" s="178">
        <f>'Таблица №10'!F237</f>
        <v>200</v>
      </c>
      <c r="F236" s="94">
        <f>'Таблица №10'!G237</f>
        <v>10</v>
      </c>
      <c r="G236" s="94">
        <f>'Таблица №10'!H237</f>
        <v>10</v>
      </c>
      <c r="H236" s="163">
        <f t="shared" si="3"/>
        <v>100</v>
      </c>
    </row>
    <row r="237" spans="1:8" ht="24" hidden="1" outlineLevel="5">
      <c r="A237" s="78" t="str">
        <f>'Таблица №10'!A238</f>
        <v>Закупка товаров, работ и услуг для государственных (муниципальных) нужд</v>
      </c>
      <c r="B237" s="178" t="str">
        <f>'Таблица №10'!C238</f>
        <v>0707</v>
      </c>
      <c r="C237" s="178" t="str">
        <f>'Таблица №10'!D238</f>
        <v>07</v>
      </c>
      <c r="D237" s="178">
        <f>'Таблица №10'!E238</f>
        <v>3</v>
      </c>
      <c r="E237" s="178">
        <f>'Таблица №10'!F238</f>
        <v>200</v>
      </c>
      <c r="F237" s="94">
        <f>'Таблица №10'!G238</f>
        <v>0</v>
      </c>
      <c r="G237" s="94">
        <f>'Таблица №10'!H238</f>
        <v>0</v>
      </c>
      <c r="H237" s="163" t="e">
        <f t="shared" si="3"/>
        <v>#DIV/0!</v>
      </c>
    </row>
    <row r="238" spans="1:8" ht="31.5" customHeight="1" hidden="1" outlineLevel="5">
      <c r="A238" s="78" t="str">
        <f>'Таблица №10'!A239</f>
        <v>Закупка товаров, работ и услуг для государственных (муниципальных) нужд</v>
      </c>
      <c r="B238" s="178" t="str">
        <f>'Таблица №10'!C239</f>
        <v>0707</v>
      </c>
      <c r="C238" s="178" t="str">
        <f>'Таблица №10'!D239</f>
        <v>07</v>
      </c>
      <c r="D238" s="178">
        <f>'Таблица №10'!E239</f>
        <v>3</v>
      </c>
      <c r="E238" s="178">
        <f>'Таблица №10'!F239</f>
        <v>200</v>
      </c>
      <c r="F238" s="94">
        <f>'Таблица №10'!G239</f>
        <v>0</v>
      </c>
      <c r="G238" s="94">
        <f>'Таблица №10'!H239</f>
        <v>0</v>
      </c>
      <c r="H238" s="163" t="e">
        <f t="shared" si="3"/>
        <v>#DIV/0!</v>
      </c>
    </row>
    <row r="239" spans="1:8" ht="39.75" customHeight="1" outlineLevel="5">
      <c r="A239" s="78" t="str">
        <f>'Таблица №10'!A240</f>
        <v>Ведомственная целевая программа "Молодежная политика на территории Алексеевского муниципального района на 2022-2024 годы" (СДЦ)</v>
      </c>
      <c r="B239" s="178" t="str">
        <f>'Таблица №10'!C240</f>
        <v>0707</v>
      </c>
      <c r="C239" s="178" t="str">
        <f>'Таблица №10'!D240</f>
        <v>56</v>
      </c>
      <c r="D239" s="178">
        <f>'Таблица №10'!E240</f>
        <v>0</v>
      </c>
      <c r="E239" s="178"/>
      <c r="F239" s="94">
        <f>'Таблица №10'!G240</f>
        <v>4247.73225</v>
      </c>
      <c r="G239" s="94">
        <f>'Таблица №10'!H240</f>
        <v>4247.73225</v>
      </c>
      <c r="H239" s="163">
        <f t="shared" si="3"/>
        <v>100</v>
      </c>
    </row>
    <row r="240" spans="1:8" ht="29.25" customHeight="1" outlineLevel="5">
      <c r="A240" s="78" t="str">
        <f>'Таблица №10'!A241</f>
        <v>Предоставление субсидий бюджетным, автономным учреждениям и иным некоммерческим организациям</v>
      </c>
      <c r="B240" s="178" t="str">
        <f>'Таблица №10'!C241</f>
        <v>0707</v>
      </c>
      <c r="C240" s="178" t="str">
        <f>'Таблица №10'!D241</f>
        <v>56</v>
      </c>
      <c r="D240" s="178">
        <f>'Таблица №10'!E241</f>
        <v>0</v>
      </c>
      <c r="E240" s="178">
        <f>'Таблица №10'!F241</f>
        <v>600</v>
      </c>
      <c r="F240" s="94">
        <f>'Таблица №10'!G241</f>
        <v>4247.73225</v>
      </c>
      <c r="G240" s="94">
        <f>'Таблица №10'!H241</f>
        <v>4247.73225</v>
      </c>
      <c r="H240" s="163">
        <f t="shared" si="3"/>
        <v>100</v>
      </c>
    </row>
    <row r="241" spans="1:8" ht="20.25" customHeight="1" outlineLevel="5">
      <c r="A241" s="78" t="str">
        <f>'Таблица №10'!A242</f>
        <v>Организация отдыха детей в лагерях дневного пребывания</v>
      </c>
      <c r="B241" s="178" t="str">
        <f>'Таблица №10'!C242</f>
        <v>0707</v>
      </c>
      <c r="C241" s="178" t="str">
        <f>'Таблица №10'!D242</f>
        <v>99</v>
      </c>
      <c r="D241" s="178"/>
      <c r="E241" s="178"/>
      <c r="F241" s="94">
        <f>'Таблица №10'!G242</f>
        <v>2524.7780000000002</v>
      </c>
      <c r="G241" s="94">
        <f>'Таблица №10'!H242</f>
        <v>2524.7780000000002</v>
      </c>
      <c r="H241" s="163">
        <f t="shared" si="3"/>
        <v>100</v>
      </c>
    </row>
    <row r="242" spans="1:8" ht="24.75" customHeight="1" outlineLevel="5">
      <c r="A242" s="78" t="str">
        <f>'Таблица №10'!A243</f>
        <v>Непрограммные расходы органов местного самоуправления Алексеевского муниципального района</v>
      </c>
      <c r="B242" s="178" t="str">
        <f>'Таблица №10'!C243</f>
        <v>0707</v>
      </c>
      <c r="C242" s="178" t="str">
        <f>'Таблица №10'!D243</f>
        <v>99</v>
      </c>
      <c r="D242" s="178"/>
      <c r="E242" s="178"/>
      <c r="F242" s="94">
        <f>'Таблица №10'!G243</f>
        <v>2524.7780000000002</v>
      </c>
      <c r="G242" s="94">
        <f>'Таблица №10'!H243</f>
        <v>2524.7780000000002</v>
      </c>
      <c r="H242" s="163">
        <f t="shared" si="3"/>
        <v>100</v>
      </c>
    </row>
    <row r="243" spans="1:8" ht="36" outlineLevel="5">
      <c r="A243" s="78" t="str">
        <f>'Таблица №10'!A244</f>
        <v>Субсидия на организацию отдыха детей в каникулярный период в лагерях дневного пребывания на базе муниципальных образовательных организаций</v>
      </c>
      <c r="B243" s="178" t="str">
        <f>'Таблица №10'!C244</f>
        <v>0707</v>
      </c>
      <c r="C243" s="178" t="str">
        <f>'Таблица №10'!D244</f>
        <v>99</v>
      </c>
      <c r="D243" s="178">
        <f>'Таблица №10'!E244</f>
        <v>0</v>
      </c>
      <c r="E243" s="178">
        <f>'Таблица №10'!F244</f>
        <v>600</v>
      </c>
      <c r="F243" s="94">
        <f>'Таблица №10'!G244</f>
        <v>2272.3</v>
      </c>
      <c r="G243" s="94">
        <f>'Таблица №10'!H244</f>
        <v>2272.3</v>
      </c>
      <c r="H243" s="163">
        <f t="shared" si="3"/>
        <v>100</v>
      </c>
    </row>
    <row r="244" spans="1:8" ht="27.75" customHeight="1" outlineLevel="5">
      <c r="A244" s="78" t="str">
        <f>'Таблица №10'!A245</f>
        <v>Предоставление субсидий бюджетным, автономным учреждениям и иным некоммерческим организациям</v>
      </c>
      <c r="B244" s="178" t="str">
        <f>'Таблица №10'!C245</f>
        <v>0707</v>
      </c>
      <c r="C244" s="178" t="str">
        <f>'Таблица №10'!D245</f>
        <v>99</v>
      </c>
      <c r="D244" s="178">
        <f>'Таблица №10'!E245</f>
        <v>0</v>
      </c>
      <c r="E244" s="178">
        <f>'Таблица №10'!F245</f>
        <v>600</v>
      </c>
      <c r="F244" s="94">
        <f>'Таблица №10'!G245</f>
        <v>252.47799999999998</v>
      </c>
      <c r="G244" s="94">
        <f>'Таблица №10'!H245</f>
        <v>252.47799999999998</v>
      </c>
      <c r="H244" s="163">
        <f t="shared" si="3"/>
        <v>100</v>
      </c>
    </row>
    <row r="245" spans="1:8" ht="15.75" customHeight="1" outlineLevel="5">
      <c r="A245" s="78" t="str">
        <f>'Таблица №10'!A246</f>
        <v>Другие вопросы в области образования</v>
      </c>
      <c r="B245" s="178" t="str">
        <f>'Таблица №10'!C246</f>
        <v>0709</v>
      </c>
      <c r="C245" s="178"/>
      <c r="D245" s="178"/>
      <c r="E245" s="178"/>
      <c r="F245" s="94">
        <f>'Таблица №10'!G246</f>
        <v>2702.05434</v>
      </c>
      <c r="G245" s="94">
        <f>'Таблица №10'!H246</f>
        <v>2702.05434</v>
      </c>
      <c r="H245" s="163">
        <f t="shared" si="3"/>
        <v>100</v>
      </c>
    </row>
    <row r="246" spans="1:8" ht="36" outlineLevel="5">
      <c r="A246" s="78" t="str">
        <f>'Таблица №10'!A247</f>
        <v>Ведомственная целевая программа "Развитие образования детей на территории Алексеевского муниципального района на 2020-2022 годы"</v>
      </c>
      <c r="B246" s="178" t="str">
        <f>'Таблица №10'!C247</f>
        <v>0709</v>
      </c>
      <c r="C246" s="178" t="str">
        <f>'Таблица №10'!D247</f>
        <v>53</v>
      </c>
      <c r="D246" s="178">
        <f>'Таблица №10'!E247</f>
        <v>0</v>
      </c>
      <c r="E246" s="178"/>
      <c r="F246" s="94">
        <f>'Таблица №10'!G247</f>
        <v>1177.3855800000001</v>
      </c>
      <c r="G246" s="94">
        <f>'Таблица №10'!H247</f>
        <v>1177.3855800000001</v>
      </c>
      <c r="H246" s="163">
        <f t="shared" si="3"/>
        <v>100</v>
      </c>
    </row>
    <row r="247" spans="1:8" ht="21.75" customHeight="1" outlineLevel="5">
      <c r="A247" s="78" t="str">
        <f>'Таблица №10'!A248</f>
        <v>Подпрограмма "Развитие общего образования детей"</v>
      </c>
      <c r="B247" s="178" t="str">
        <f>'Таблица №10'!C248</f>
        <v>0709</v>
      </c>
      <c r="C247" s="178" t="str">
        <f>'Таблица №10'!D248</f>
        <v>53</v>
      </c>
      <c r="D247" s="178">
        <f>'Таблица №10'!E248</f>
        <v>2</v>
      </c>
      <c r="E247" s="178" t="s">
        <v>9</v>
      </c>
      <c r="F247" s="94">
        <f>'Таблица №10'!G248</f>
        <v>1177.3855800000001</v>
      </c>
      <c r="G247" s="94">
        <f>'Таблица №10'!H248</f>
        <v>1177.3855800000001</v>
      </c>
      <c r="H247" s="163">
        <f t="shared" si="3"/>
        <v>100</v>
      </c>
    </row>
    <row r="248" spans="1:8" ht="48" outlineLevel="2">
      <c r="A248" s="78" t="str">
        <f>'Таблица №10'!A249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8" s="178" t="str">
        <f>'Таблица №10'!C249</f>
        <v>0709</v>
      </c>
      <c r="C248" s="178" t="str">
        <f>'Таблица №10'!D249</f>
        <v>53</v>
      </c>
      <c r="D248" s="178">
        <f>'Таблица №10'!E249</f>
        <v>2</v>
      </c>
      <c r="E248" s="178" t="s">
        <v>222</v>
      </c>
      <c r="F248" s="94">
        <f>'Таблица №10'!G249</f>
        <v>76.06931</v>
      </c>
      <c r="G248" s="94">
        <f>'Таблица №10'!H249</f>
        <v>76.06931</v>
      </c>
      <c r="H248" s="163">
        <f t="shared" si="3"/>
        <v>100</v>
      </c>
    </row>
    <row r="249" spans="1:8" ht="63.75" customHeight="1" outlineLevel="2">
      <c r="A249" s="78" t="str">
        <f>'Таблица №10'!A250</f>
        <v>Предоставление субсидий бюджетным, автономным учреждениям и иным некоммерческим организациям (на проведение мероприятий по обеспечению деятельности советников директора по воспитанию и взаимодействию с детсими общественными объединениями в общеобразовательных организациях)</v>
      </c>
      <c r="B249" s="178" t="str">
        <f>'Таблица №10'!C250</f>
        <v>0709</v>
      </c>
      <c r="C249" s="178" t="str">
        <f>'Таблица №10'!D250</f>
        <v>53</v>
      </c>
      <c r="D249" s="178">
        <f>'Таблица №10'!E250</f>
        <v>2</v>
      </c>
      <c r="E249" s="178" t="s">
        <v>222</v>
      </c>
      <c r="F249" s="94">
        <f>'Таблица №10'!G250</f>
        <v>1101.31627</v>
      </c>
      <c r="G249" s="94">
        <f>'Таблица №10'!H250</f>
        <v>1101.31627</v>
      </c>
      <c r="H249" s="163">
        <f t="shared" si="3"/>
        <v>100</v>
      </c>
    </row>
    <row r="250" spans="1:8" ht="48" outlineLevel="3">
      <c r="A250" s="78" t="str">
        <f>'Таблица №10'!A251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50" s="178" t="str">
        <f>'Таблица №10'!C251</f>
        <v>0709</v>
      </c>
      <c r="C250" s="178" t="str">
        <f>'Таблица №10'!D251</f>
        <v>58</v>
      </c>
      <c r="D250" s="178">
        <f>'Таблица №10'!E251</f>
        <v>0</v>
      </c>
      <c r="E250" s="178"/>
      <c r="F250" s="94">
        <f>'Таблица №10'!G251</f>
        <v>1524.66876</v>
      </c>
      <c r="G250" s="94">
        <f>'Таблица №10'!H251</f>
        <v>1524.66876</v>
      </c>
      <c r="H250" s="163">
        <f t="shared" si="3"/>
        <v>100</v>
      </c>
    </row>
    <row r="251" spans="1:8" ht="48" outlineLevel="3">
      <c r="A251" s="78" t="str">
        <f>'Таблица №10'!A252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51" s="178" t="str">
        <f>'Таблица №10'!C252</f>
        <v>0709</v>
      </c>
      <c r="C251" s="178" t="str">
        <f>'Таблица №10'!D252</f>
        <v>58</v>
      </c>
      <c r="D251" s="178">
        <f>'Таблица №10'!E252</f>
        <v>0</v>
      </c>
      <c r="E251" s="178">
        <f>'Таблица №10'!F252</f>
        <v>100</v>
      </c>
      <c r="F251" s="94">
        <f>'Таблица №10'!G252</f>
        <v>1524.66876</v>
      </c>
      <c r="G251" s="94">
        <f>'Таблица №10'!H252</f>
        <v>1524.66876</v>
      </c>
      <c r="H251" s="163">
        <f t="shared" si="3"/>
        <v>100</v>
      </c>
    </row>
    <row r="252" spans="1:8" ht="14.25" customHeight="1" outlineLevel="3">
      <c r="A252" s="78" t="str">
        <f>'Таблица №10'!A253</f>
        <v>Закупка товаров, работ и услуг для государственных (муниципальных) нужд</v>
      </c>
      <c r="B252" s="178" t="str">
        <f>'Таблица №10'!C253</f>
        <v>0709</v>
      </c>
      <c r="C252" s="178" t="str">
        <f>'Таблица №10'!D253</f>
        <v>58</v>
      </c>
      <c r="D252" s="178">
        <f>'Таблица №10'!E253</f>
        <v>0</v>
      </c>
      <c r="E252" s="178">
        <f>'Таблица №10'!F253</f>
        <v>200</v>
      </c>
      <c r="F252" s="94">
        <f>'Таблица №10'!G253</f>
        <v>0</v>
      </c>
      <c r="G252" s="94">
        <f>'Таблица №10'!H253</f>
        <v>0</v>
      </c>
      <c r="H252" s="163" t="e">
        <f t="shared" si="3"/>
        <v>#DIV/0!</v>
      </c>
    </row>
    <row r="253" spans="1:8" ht="12.75" hidden="1" outlineLevel="3">
      <c r="A253" s="78" t="str">
        <f>'Таблица №10'!A254</f>
        <v>Иные бюджетные ассигнования</v>
      </c>
      <c r="B253" s="178" t="str">
        <f>'Таблица №10'!C254</f>
        <v>0709</v>
      </c>
      <c r="C253" s="178" t="str">
        <f>'Таблица №10'!D254</f>
        <v>58</v>
      </c>
      <c r="D253" s="178">
        <f>'Таблица №10'!E254</f>
        <v>0</v>
      </c>
      <c r="E253" s="178">
        <f>'Таблица №10'!F254</f>
        <v>800</v>
      </c>
      <c r="F253" s="94">
        <f>'Таблица №10'!G254</f>
        <v>0</v>
      </c>
      <c r="G253" s="94">
        <f>'Таблица №10'!H254</f>
        <v>0</v>
      </c>
      <c r="H253" s="163" t="e">
        <f t="shared" si="3"/>
        <v>#DIV/0!</v>
      </c>
    </row>
    <row r="254" spans="1:8" ht="12.75" outlineLevel="3">
      <c r="A254" s="78" t="str">
        <f>'Таблица №10'!A255</f>
        <v>Культура, кинематография </v>
      </c>
      <c r="B254" s="178" t="str">
        <f>'Таблица №10'!C255</f>
        <v>0800</v>
      </c>
      <c r="C254" s="178"/>
      <c r="D254" s="178"/>
      <c r="E254" s="178"/>
      <c r="F254" s="94">
        <f>'Таблица №10'!G255</f>
        <v>13206.57914</v>
      </c>
      <c r="G254" s="94">
        <f>'Таблица №10'!H255</f>
        <v>13206.57914</v>
      </c>
      <c r="H254" s="163">
        <f t="shared" si="3"/>
        <v>100</v>
      </c>
    </row>
    <row r="255" spans="1:8" ht="12" customHeight="1" outlineLevel="3">
      <c r="A255" s="78" t="str">
        <f>'Таблица №10'!A256</f>
        <v>Культура</v>
      </c>
      <c r="B255" s="178" t="str">
        <f>'Таблица №10'!C256</f>
        <v>0801</v>
      </c>
      <c r="C255" s="178"/>
      <c r="D255" s="178"/>
      <c r="E255" s="178"/>
      <c r="F255" s="94">
        <f>'Таблица №10'!G256</f>
        <v>12438.53084</v>
      </c>
      <c r="G255" s="94">
        <f>'Таблица №10'!H256</f>
        <v>12438.53084</v>
      </c>
      <c r="H255" s="163">
        <f t="shared" si="3"/>
        <v>100</v>
      </c>
    </row>
    <row r="256" spans="1:8" ht="24" hidden="1" outlineLevel="3">
      <c r="A256" s="78" t="str">
        <f>'Таблица №10'!A257</f>
        <v>Муниципальная программа "Развитие культуры и искусства в Алексеевском муниципальном районе на 2021-2025 годы"</v>
      </c>
      <c r="B256" s="178" t="str">
        <f>'Таблица №10'!C257</f>
        <v>0801</v>
      </c>
      <c r="C256" s="178" t="str">
        <f>'Таблица №10'!D257</f>
        <v>06</v>
      </c>
      <c r="D256" s="178">
        <f>'Таблица №10'!E257</f>
        <v>0</v>
      </c>
      <c r="E256" s="178"/>
      <c r="F256" s="94">
        <f>'Таблица №10'!G257</f>
        <v>0</v>
      </c>
      <c r="G256" s="94">
        <f>'Таблица №10'!H257</f>
        <v>0</v>
      </c>
      <c r="H256" s="163" t="e">
        <f t="shared" si="3"/>
        <v>#DIV/0!</v>
      </c>
    </row>
    <row r="257" spans="1:8" ht="24" hidden="1" outlineLevel="3">
      <c r="A257" s="78" t="str">
        <f>'Таблица №10'!A258</f>
        <v>Предоставление субсидий бюджетным, автономным учреждениям и иным некоммерческим организациям</v>
      </c>
      <c r="B257" s="178" t="str">
        <f>'Таблица №10'!C258</f>
        <v>0801</v>
      </c>
      <c r="C257" s="178" t="str">
        <f>'Таблица №10'!D258</f>
        <v>06</v>
      </c>
      <c r="D257" s="178">
        <f>'Таблица №10'!E258</f>
        <v>0</v>
      </c>
      <c r="E257" s="178">
        <f>'Таблица №10'!F258</f>
        <v>600</v>
      </c>
      <c r="F257" s="94">
        <f>'Таблица №10'!G258</f>
        <v>0</v>
      </c>
      <c r="G257" s="94">
        <f>'Таблица №10'!H258</f>
        <v>0</v>
      </c>
      <c r="H257" s="163" t="e">
        <f t="shared" si="3"/>
        <v>#DIV/0!</v>
      </c>
    </row>
    <row r="258" spans="1:8" ht="120" hidden="1" outlineLevel="3">
      <c r="A258" s="78" t="str">
        <f>'Таблица №10'!A259</f>
        <v>Предоставление субсидий бюджетным, автономным учреждениям и иным некоммерческим организациям (софинансирование в рамках регионального проекта "Обеспечение качественно нового уровня развития инфраструктуры культуры ("Культурная среда")" подпрограммы "Сохранение и развитие профессионального искусства, народного творчества, культурных инициатив и творческого потенциала населения Волгоградской области государственной программы Волгоградской области "Развитие культуры в Волгоградской области",)</v>
      </c>
      <c r="B258" s="178" t="str">
        <f>'Таблица №10'!C259</f>
        <v>0801</v>
      </c>
      <c r="C258" s="178" t="str">
        <f>'Таблица №10'!D259</f>
        <v>06</v>
      </c>
      <c r="D258" s="178">
        <f>'Таблица №10'!E259</f>
        <v>0</v>
      </c>
      <c r="E258" s="178">
        <f>'Таблица №10'!F259</f>
        <v>600</v>
      </c>
      <c r="F258" s="94">
        <f>'Таблица №10'!G259</f>
        <v>0</v>
      </c>
      <c r="G258" s="94">
        <f>'Таблица №10'!H259</f>
        <v>0</v>
      </c>
      <c r="H258" s="163" t="e">
        <f t="shared" si="3"/>
        <v>#DIV/0!</v>
      </c>
    </row>
    <row r="259" spans="1:8" ht="38.25" customHeight="1" outlineLevel="3">
      <c r="A259" s="78" t="str">
        <f>'Таблица №10'!A260</f>
        <v>Муниципальная программа "Развитие народных художественных промыслов Алексеевского муниципального района на 2019-2023 годы"</v>
      </c>
      <c r="B259" s="178" t="str">
        <f>'Таблица №10'!C260</f>
        <v>0801</v>
      </c>
      <c r="C259" s="178" t="str">
        <f>'Таблица №10'!D260</f>
        <v>12</v>
      </c>
      <c r="D259" s="178">
        <f>'Таблица №10'!E260</f>
        <v>0</v>
      </c>
      <c r="E259" s="178"/>
      <c r="F259" s="94">
        <f>'Таблица №10'!G260</f>
        <v>6.6</v>
      </c>
      <c r="G259" s="94">
        <f>'Таблица №10'!H260</f>
        <v>6.6</v>
      </c>
      <c r="H259" s="163">
        <f t="shared" si="3"/>
        <v>100</v>
      </c>
    </row>
    <row r="260" spans="1:8" ht="26.25" customHeight="1" outlineLevel="3">
      <c r="A260" s="78" t="str">
        <f>'Таблица №10'!A261</f>
        <v>Предоставление субсидий бюджетным, автономным учреждениям и иным некоммерческим организациям</v>
      </c>
      <c r="B260" s="178" t="str">
        <f>'Таблица №10'!C261</f>
        <v>0801</v>
      </c>
      <c r="C260" s="178" t="str">
        <f>'Таблица №10'!D261</f>
        <v>12</v>
      </c>
      <c r="D260" s="178">
        <f>'Таблица №10'!E261</f>
        <v>0</v>
      </c>
      <c r="E260" s="178">
        <f>'Таблица №10'!F261</f>
        <v>600</v>
      </c>
      <c r="F260" s="94">
        <f>'Таблица №10'!G261</f>
        <v>6.6</v>
      </c>
      <c r="G260" s="94">
        <f>'Таблица №10'!H261</f>
        <v>6.6</v>
      </c>
      <c r="H260" s="163">
        <f t="shared" si="3"/>
        <v>100</v>
      </c>
    </row>
    <row r="261" spans="1:8" ht="36" outlineLevel="3">
      <c r="A261" s="78" t="str">
        <f>'Таблица №10'!A262</f>
        <v>Муниципальная программа "О поддержке деятельности казачьих обществ Алексеевского муниципального района на 2019-2023 годы"</v>
      </c>
      <c r="B261" s="178" t="str">
        <f>'Таблица №10'!C262</f>
        <v>0801</v>
      </c>
      <c r="C261" s="178" t="str">
        <f>'Таблица №10'!D262</f>
        <v>13</v>
      </c>
      <c r="D261" s="178">
        <f>'Таблица №10'!E262</f>
        <v>0</v>
      </c>
      <c r="E261" s="178"/>
      <c r="F261" s="94">
        <f>'Таблица №10'!G262</f>
        <v>0</v>
      </c>
      <c r="G261" s="94">
        <f>'Таблица №10'!H262</f>
        <v>0</v>
      </c>
      <c r="H261" s="163" t="e">
        <f t="shared" si="3"/>
        <v>#DIV/0!</v>
      </c>
    </row>
    <row r="262" spans="1:8" ht="24" outlineLevel="3">
      <c r="A262" s="78" t="str">
        <f>'Таблица №10'!A263</f>
        <v>Предоставление субсидий бюджетным, автономным учреждениям и иным некоммерческим организациям</v>
      </c>
      <c r="B262" s="178" t="str">
        <f>'Таблица №10'!C263</f>
        <v>0801</v>
      </c>
      <c r="C262" s="178" t="str">
        <f>'Таблица №10'!D263</f>
        <v>13</v>
      </c>
      <c r="D262" s="178">
        <f>'Таблица №10'!E263</f>
        <v>0</v>
      </c>
      <c r="E262" s="178">
        <f>'Таблица №10'!F263</f>
        <v>600</v>
      </c>
      <c r="F262" s="94">
        <f>'Таблица №10'!G263</f>
        <v>0</v>
      </c>
      <c r="G262" s="94">
        <f>'Таблица №10'!H263</f>
        <v>0</v>
      </c>
      <c r="H262" s="163" t="e">
        <f t="shared" si="3"/>
        <v>#DIV/0!</v>
      </c>
    </row>
    <row r="263" spans="1:8" ht="24" outlineLevel="3">
      <c r="A263" s="78" t="str">
        <f>'Таблица №10'!A264</f>
        <v>Непрограммные расходы органов местного самоуправления Алексеевского муниципального района</v>
      </c>
      <c r="B263" s="178" t="str">
        <f>'Таблица №10'!C264</f>
        <v>0801</v>
      </c>
      <c r="C263" s="178" t="str">
        <f>'Таблица №10'!D264</f>
        <v>99</v>
      </c>
      <c r="D263" s="178">
        <f>'Таблица №10'!E264</f>
        <v>0</v>
      </c>
      <c r="E263" s="178"/>
      <c r="F263" s="94">
        <f>'Таблица №10'!G264</f>
        <v>6.9</v>
      </c>
      <c r="G263" s="94">
        <f>'Таблица №10'!H264</f>
        <v>6.9</v>
      </c>
      <c r="H263" s="163">
        <f t="shared" si="3"/>
        <v>100</v>
      </c>
    </row>
    <row r="264" spans="1:8" ht="24" outlineLevel="3">
      <c r="A264" s="78" t="str">
        <f>'Таблица №10'!A265</f>
        <v>Закупка товаров, работ и услуг для государственных (муниципальных) нужд</v>
      </c>
      <c r="B264" s="178" t="str">
        <f>'Таблица №10'!C265</f>
        <v>0801</v>
      </c>
      <c r="C264" s="178" t="str">
        <f>'Таблица №10'!D265</f>
        <v>99</v>
      </c>
      <c r="D264" s="178">
        <f>'Таблица №10'!E265</f>
        <v>0</v>
      </c>
      <c r="E264" s="178">
        <f>'Таблица №10'!F265</f>
        <v>200</v>
      </c>
      <c r="F264" s="94">
        <f>'Таблица №10'!G265</f>
        <v>6.9</v>
      </c>
      <c r="G264" s="94">
        <f>'Таблица №10'!H265</f>
        <v>6.9</v>
      </c>
      <c r="H264" s="163">
        <f t="shared" si="3"/>
        <v>100</v>
      </c>
    </row>
    <row r="265" spans="1:8" ht="36.75" customHeight="1" outlineLevel="1">
      <c r="A265" s="78" t="str">
        <f>'Таблица №10'!A266</f>
        <v>Ведомственная целевая программа "Развитие культуры и искусства в Алексеевском муниципальном районе на 2022-2024 годы"</v>
      </c>
      <c r="B265" s="178" t="str">
        <f>'Таблица №10'!C266</f>
        <v>0800</v>
      </c>
      <c r="C265" s="178" t="str">
        <f>'Таблица №10'!D266</f>
        <v>59</v>
      </c>
      <c r="D265" s="178">
        <f>'Таблица №10'!E266</f>
        <v>0</v>
      </c>
      <c r="E265" s="178"/>
      <c r="F265" s="94">
        <f>'Таблица №10'!G266</f>
        <v>13193.07914</v>
      </c>
      <c r="G265" s="94">
        <f>'Таблица №10'!H266</f>
        <v>13193.07914</v>
      </c>
      <c r="H265" s="163">
        <f t="shared" si="3"/>
        <v>100</v>
      </c>
    </row>
    <row r="266" spans="1:8" ht="16.5" customHeight="1" outlineLevel="3">
      <c r="A266" s="78" t="str">
        <f>'Таблица №10'!A267</f>
        <v>Дворцы и дома культуры, другие учреждения культуры</v>
      </c>
      <c r="B266" s="178" t="str">
        <f>'Таблица №10'!C267</f>
        <v>0801</v>
      </c>
      <c r="C266" s="178" t="str">
        <f>'Таблица №10'!D267</f>
        <v>59</v>
      </c>
      <c r="D266" s="178">
        <f>'Таблица №10'!E267</f>
        <v>0</v>
      </c>
      <c r="E266" s="178"/>
      <c r="F266" s="94">
        <f>'Таблица №10'!G267</f>
        <v>9619.6132</v>
      </c>
      <c r="G266" s="94">
        <f>'Таблица №10'!H267</f>
        <v>9619.6132</v>
      </c>
      <c r="H266" s="163">
        <f aca="true" t="shared" si="4" ref="H266:H329">SUM(G266/F266)*100</f>
        <v>100</v>
      </c>
    </row>
    <row r="267" spans="1:8" ht="24" customHeight="1" outlineLevel="3">
      <c r="A267" s="78" t="str">
        <f>'Таблица №10'!A268</f>
        <v>Предоставление субсидий бюджетным, автономным учреждениям и иным некоммерческим организациям</v>
      </c>
      <c r="B267" s="178" t="str">
        <f>'Таблица №10'!C268</f>
        <v>0801</v>
      </c>
      <c r="C267" s="178" t="str">
        <f>'Таблица №10'!D268</f>
        <v>59</v>
      </c>
      <c r="D267" s="178">
        <f>'Таблица №10'!E268</f>
        <v>0</v>
      </c>
      <c r="E267" s="178">
        <f>'Таблица №10'!F268</f>
        <v>600</v>
      </c>
      <c r="F267" s="94">
        <f>'Таблица №10'!G268</f>
        <v>9619.6132</v>
      </c>
      <c r="G267" s="94">
        <f>'Таблица №10'!H268</f>
        <v>9619.6132</v>
      </c>
      <c r="H267" s="163">
        <f t="shared" si="4"/>
        <v>100</v>
      </c>
    </row>
    <row r="268" spans="1:8" ht="14.25" customHeight="1" outlineLevel="3">
      <c r="A268" s="78" t="str">
        <f>'Таблица №10'!A269</f>
        <v>Музей</v>
      </c>
      <c r="B268" s="178" t="str">
        <f>'Таблица №10'!C269</f>
        <v>0801</v>
      </c>
      <c r="C268" s="178" t="str">
        <f>'Таблица №10'!D269</f>
        <v>59</v>
      </c>
      <c r="D268" s="178">
        <f>'Таблица №10'!E269</f>
        <v>0</v>
      </c>
      <c r="E268" s="178"/>
      <c r="F268" s="94">
        <f>'Таблица №10'!G269</f>
        <v>1596.5260999999998</v>
      </c>
      <c r="G268" s="94">
        <f>'Таблица №10'!H269</f>
        <v>1596.5260999999998</v>
      </c>
      <c r="H268" s="163">
        <f t="shared" si="4"/>
        <v>100</v>
      </c>
    </row>
    <row r="269" spans="1:8" ht="31.5" customHeight="1" outlineLevel="3">
      <c r="A269" s="78" t="str">
        <f>'Таблица №10'!A270</f>
        <v>Предоставление субсидий бюджетным, автономным учреждениям и иным некоммерческим организациям</v>
      </c>
      <c r="B269" s="178" t="str">
        <f>'Таблица №10'!C270</f>
        <v>0801</v>
      </c>
      <c r="C269" s="178" t="str">
        <f>'Таблица №10'!D270</f>
        <v>59</v>
      </c>
      <c r="D269" s="178">
        <f>'Таблица №10'!E270</f>
        <v>0</v>
      </c>
      <c r="E269" s="178">
        <f>'Таблица №10'!F270</f>
        <v>600</v>
      </c>
      <c r="F269" s="94">
        <f>'Таблица №10'!G270</f>
        <v>1596.5260999999998</v>
      </c>
      <c r="G269" s="94">
        <f>'Таблица №10'!H270</f>
        <v>1596.5260999999998</v>
      </c>
      <c r="H269" s="163">
        <f t="shared" si="4"/>
        <v>100</v>
      </c>
    </row>
    <row r="270" spans="1:8" ht="16.5" customHeight="1" outlineLevel="3">
      <c r="A270" s="78" t="str">
        <f>'Таблица №10'!A271</f>
        <v>Библиотеки</v>
      </c>
      <c r="B270" s="178" t="str">
        <f>'Таблица №10'!C271</f>
        <v>0801</v>
      </c>
      <c r="C270" s="178" t="str">
        <f>'Таблица №10'!D271</f>
        <v>59</v>
      </c>
      <c r="D270" s="178">
        <f>'Таблица №10'!E271</f>
        <v>0</v>
      </c>
      <c r="E270" s="178"/>
      <c r="F270" s="94">
        <f>'Таблица №10'!G271</f>
        <v>1208.8915399999998</v>
      </c>
      <c r="G270" s="94">
        <f>'Таблица №10'!H271</f>
        <v>1208.8915399999998</v>
      </c>
      <c r="H270" s="163">
        <f t="shared" si="4"/>
        <v>100</v>
      </c>
    </row>
    <row r="271" spans="1:8" ht="27" customHeight="1" outlineLevel="1">
      <c r="A271" s="78" t="str">
        <f>'Таблица №10'!A272</f>
        <v>Предоставление субсидий бюджетным, автономным учреждениям и иным некоммерческим организациям</v>
      </c>
      <c r="B271" s="178" t="str">
        <f>'Таблица №10'!C272</f>
        <v>0801</v>
      </c>
      <c r="C271" s="178" t="str">
        <f>'Таблица №10'!D272</f>
        <v>59</v>
      </c>
      <c r="D271" s="178">
        <f>'Таблица №10'!E272</f>
        <v>0</v>
      </c>
      <c r="E271" s="178">
        <f>'Таблица №10'!F272</f>
        <v>600</v>
      </c>
      <c r="F271" s="94">
        <f>'Таблица №10'!G272</f>
        <v>1208.8915399999998</v>
      </c>
      <c r="G271" s="94">
        <f>'Таблица №10'!H272</f>
        <v>1208.8915399999998</v>
      </c>
      <c r="H271" s="163">
        <f t="shared" si="4"/>
        <v>100</v>
      </c>
    </row>
    <row r="272" spans="1:8" ht="12" customHeight="1" outlineLevel="3">
      <c r="A272" s="78" t="str">
        <f>'Таблица №10'!A273</f>
        <v>Кинематография</v>
      </c>
      <c r="B272" s="178" t="str">
        <f>'Таблица №10'!C273</f>
        <v>0802</v>
      </c>
      <c r="C272" s="178" t="str">
        <f>'Таблица №10'!D273</f>
        <v>59</v>
      </c>
      <c r="D272" s="178">
        <f>'Таблица №10'!E273</f>
        <v>0</v>
      </c>
      <c r="E272" s="178"/>
      <c r="F272" s="94">
        <f>'Таблица №10'!G273</f>
        <v>768.0483</v>
      </c>
      <c r="G272" s="94">
        <f>'Таблица №10'!H273</f>
        <v>768.0483</v>
      </c>
      <c r="H272" s="163">
        <f t="shared" si="4"/>
        <v>100</v>
      </c>
    </row>
    <row r="273" spans="1:8" ht="26.25" customHeight="1" outlineLevel="3">
      <c r="A273" s="78" t="str">
        <f>'Таблица №10'!A274</f>
        <v>Предоставление субсидий бюджетным, автономным учреждениям и иным некоммерческим организациям</v>
      </c>
      <c r="B273" s="178" t="str">
        <f>'Таблица №10'!C274</f>
        <v>0802</v>
      </c>
      <c r="C273" s="178" t="str">
        <f>'Таблица №10'!D274</f>
        <v>59</v>
      </c>
      <c r="D273" s="178">
        <f>'Таблица №10'!E274</f>
        <v>0</v>
      </c>
      <c r="E273" s="178">
        <f>'Таблица №10'!F274</f>
        <v>600</v>
      </c>
      <c r="F273" s="94">
        <f>'Таблица №10'!G274</f>
        <v>768.0483</v>
      </c>
      <c r="G273" s="94">
        <f>'Таблица №10'!H274</f>
        <v>768.0483</v>
      </c>
      <c r="H273" s="163">
        <f t="shared" si="4"/>
        <v>100</v>
      </c>
    </row>
    <row r="274" spans="1:8" ht="12.75" hidden="1" outlineLevel="3">
      <c r="A274" s="78" t="str">
        <f>'Таблица №10'!A275</f>
        <v>Другие вопросы в области культуры, кинематографии </v>
      </c>
      <c r="B274" s="178" t="str">
        <f>'Таблица №10'!C275</f>
        <v>0804</v>
      </c>
      <c r="C274" s="178" t="str">
        <f>'Таблица №10'!D275</f>
        <v>59</v>
      </c>
      <c r="D274" s="178">
        <f>'Таблица №10'!E275</f>
        <v>0</v>
      </c>
      <c r="E274" s="178"/>
      <c r="F274" s="94">
        <f>'Таблица №10'!G275</f>
        <v>0</v>
      </c>
      <c r="G274" s="94">
        <f>'Таблица №10'!H275</f>
        <v>0</v>
      </c>
      <c r="H274" s="163" t="e">
        <f t="shared" si="4"/>
        <v>#DIV/0!</v>
      </c>
    </row>
    <row r="275" spans="1:8" ht="24" hidden="1" outlineLevel="3">
      <c r="A275" s="78" t="str">
        <f>'Таблица №10'!A276</f>
        <v>Предоставление субсидий бюджетным, автономным учреждениям и иным некоммерческим организациям</v>
      </c>
      <c r="B275" s="178" t="str">
        <f>'Таблица №10'!C276</f>
        <v>0804</v>
      </c>
      <c r="C275" s="178" t="str">
        <f>'Таблица №10'!D276</f>
        <v>59</v>
      </c>
      <c r="D275" s="178">
        <f>'Таблица №10'!E276</f>
        <v>0</v>
      </c>
      <c r="E275" s="178">
        <f>'Таблица №10'!F276</f>
        <v>600</v>
      </c>
      <c r="F275" s="94">
        <f>'Таблица №10'!G276</f>
        <v>0</v>
      </c>
      <c r="G275" s="94">
        <f>'Таблица №10'!H276</f>
        <v>0</v>
      </c>
      <c r="H275" s="163" t="e">
        <f t="shared" si="4"/>
        <v>#DIV/0!</v>
      </c>
    </row>
    <row r="276" spans="1:8" ht="40.5" customHeight="1" hidden="1" outlineLevel="3">
      <c r="A276" s="78" t="str">
        <f>'Таблица №10'!A277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276" s="178" t="str">
        <f>'Таблица №10'!C277</f>
        <v>0804</v>
      </c>
      <c r="C276" s="178" t="str">
        <f>'Таблица №10'!D277</f>
        <v>10</v>
      </c>
      <c r="D276" s="178">
        <f>'Таблица №10'!E277</f>
        <v>0</v>
      </c>
      <c r="E276" s="178"/>
      <c r="F276" s="178">
        <f>'Таблица №10'!G277</f>
        <v>0</v>
      </c>
      <c r="G276" s="178">
        <f>'Таблица №10'!H277</f>
        <v>0</v>
      </c>
      <c r="H276" s="163" t="e">
        <f t="shared" si="4"/>
        <v>#DIV/0!</v>
      </c>
    </row>
    <row r="277" spans="1:8" ht="36" hidden="1" outlineLevel="3">
      <c r="A277" s="78" t="str">
        <f>'Таблица №10'!A278</f>
        <v>Межбюджетные трансферты за счет средств субсидии на благоустройство и ремонт памятников, обелисков и воинских захоронений</v>
      </c>
      <c r="B277" s="178" t="str">
        <f>'Таблица №10'!C278</f>
        <v>0804</v>
      </c>
      <c r="C277" s="178" t="str">
        <f>'Таблица №10'!D278</f>
        <v>10</v>
      </c>
      <c r="D277" s="178">
        <f>'Таблица №10'!E278</f>
        <v>0</v>
      </c>
      <c r="E277" s="178">
        <f>'Таблица №10'!F278</f>
        <v>500</v>
      </c>
      <c r="F277" s="178">
        <f>'Таблица №10'!G278</f>
        <v>0</v>
      </c>
      <c r="G277" s="178">
        <f>'Таблица №10'!H278</f>
        <v>0</v>
      </c>
      <c r="H277" s="163" t="e">
        <f t="shared" si="4"/>
        <v>#DIV/0!</v>
      </c>
    </row>
    <row r="278" spans="1:8" ht="12.75" hidden="1" outlineLevel="3">
      <c r="A278" s="78" t="str">
        <f>'Таблица №10'!A279</f>
        <v>Здравоохранение</v>
      </c>
      <c r="B278" s="178" t="str">
        <f>'Таблица №10'!C279</f>
        <v>0900</v>
      </c>
      <c r="C278" s="178"/>
      <c r="D278" s="178"/>
      <c r="E278" s="178"/>
      <c r="F278" s="94">
        <f>'Таблица №10'!G279</f>
        <v>0</v>
      </c>
      <c r="G278" s="94">
        <f>'Таблица №10'!H279</f>
        <v>0</v>
      </c>
      <c r="H278" s="163" t="e">
        <f t="shared" si="4"/>
        <v>#DIV/0!</v>
      </c>
    </row>
    <row r="279" spans="1:8" ht="12.75" hidden="1" outlineLevel="3">
      <c r="A279" s="78" t="str">
        <f>'Таблица №10'!A280</f>
        <v>Амбулаторная помощь</v>
      </c>
      <c r="B279" s="178" t="str">
        <f>'Таблица №10'!C280</f>
        <v>0902</v>
      </c>
      <c r="C279" s="178"/>
      <c r="D279" s="178"/>
      <c r="E279" s="178"/>
      <c r="F279" s="94">
        <f>'Таблица №10'!G280</f>
        <v>0</v>
      </c>
      <c r="G279" s="94">
        <f>'Таблица №10'!H280</f>
        <v>0</v>
      </c>
      <c r="H279" s="163" t="e">
        <f t="shared" si="4"/>
        <v>#DIV/0!</v>
      </c>
    </row>
    <row r="280" spans="1:8" ht="36" hidden="1" outlineLevel="3">
      <c r="A280" s="78" t="str">
        <f>'Таблица №10'!A281</f>
        <v>Муниципальная программа "Инвестиционная программа по жилищно-коммунальному хозяйству Алексеевского муниципального района на 2019-2021 годы"</v>
      </c>
      <c r="B280" s="178" t="str">
        <f>'Таблица №10'!C281</f>
        <v>0902</v>
      </c>
      <c r="C280" s="178" t="str">
        <f>'Таблица №10'!D281</f>
        <v>02</v>
      </c>
      <c r="D280" s="178">
        <f>'Таблица №10'!E281</f>
        <v>0</v>
      </c>
      <c r="E280" s="178"/>
      <c r="F280" s="94">
        <f>'Таблица №10'!G281</f>
        <v>0</v>
      </c>
      <c r="G280" s="94">
        <f>'Таблица №10'!H281</f>
        <v>0</v>
      </c>
      <c r="H280" s="163" t="e">
        <f t="shared" si="4"/>
        <v>#DIV/0!</v>
      </c>
    </row>
    <row r="281" spans="1:8" ht="36" hidden="1">
      <c r="A281" s="78" t="str">
        <f>'Таблица №10'!A282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281" s="178" t="str">
        <f>'Таблица №10'!C282</f>
        <v>0902</v>
      </c>
      <c r="C281" s="178" t="str">
        <f>'Таблица №10'!D282</f>
        <v>02</v>
      </c>
      <c r="D281" s="178">
        <f>'Таблица №10'!E282</f>
        <v>3</v>
      </c>
      <c r="E281" s="178"/>
      <c r="F281" s="94">
        <f>'Таблица №10'!G282</f>
        <v>0</v>
      </c>
      <c r="G281" s="94">
        <f>'Таблица №10'!H282</f>
        <v>0</v>
      </c>
      <c r="H281" s="163" t="e">
        <f t="shared" si="4"/>
        <v>#DIV/0!</v>
      </c>
    </row>
    <row r="282" spans="1:8" s="15" customFormat="1" ht="24" hidden="1" outlineLevel="2">
      <c r="A282" s="78" t="str">
        <f>'Таблица №10'!A283</f>
        <v>Капитальные вложения в объекты государственной (муниципальной) собственности</v>
      </c>
      <c r="B282" s="178" t="str">
        <f>'Таблица №10'!C283</f>
        <v>0902</v>
      </c>
      <c r="C282" s="178" t="str">
        <f>'Таблица №10'!D283</f>
        <v>02</v>
      </c>
      <c r="D282" s="178">
        <f>'Таблица №10'!E283</f>
        <v>3</v>
      </c>
      <c r="E282" s="178">
        <f>'Таблица №10'!F283</f>
        <v>400</v>
      </c>
      <c r="F282" s="94">
        <f>'Таблица №10'!G283</f>
        <v>0</v>
      </c>
      <c r="G282" s="94">
        <f>'Таблица №10'!H283</f>
        <v>0</v>
      </c>
      <c r="H282" s="163" t="e">
        <f t="shared" si="4"/>
        <v>#DIV/0!</v>
      </c>
    </row>
    <row r="283" spans="1:8" s="15" customFormat="1" ht="15" customHeight="1" outlineLevel="2">
      <c r="A283" s="78" t="str">
        <f>'Таблица №10'!A284</f>
        <v>Социальная политика</v>
      </c>
      <c r="B283" s="178" t="str">
        <f>'Таблица №10'!C284</f>
        <v>1000</v>
      </c>
      <c r="C283" s="178"/>
      <c r="D283" s="178"/>
      <c r="E283" s="178"/>
      <c r="F283" s="94">
        <f>'Таблица №10'!G284</f>
        <v>27035.34807</v>
      </c>
      <c r="G283" s="94">
        <f>'Таблица №10'!H284</f>
        <v>25464.838600000003</v>
      </c>
      <c r="H283" s="163">
        <f t="shared" si="4"/>
        <v>94.1909034574527</v>
      </c>
    </row>
    <row r="284" spans="1:8" s="15" customFormat="1" ht="15.75" customHeight="1" outlineLevel="2">
      <c r="A284" s="78" t="str">
        <f>'Таблица №10'!A285</f>
        <v>Доплаты к пенсии государственных служащих субъектов Российской Федерации и муниципальных служащих</v>
      </c>
      <c r="B284" s="178" t="str">
        <f>'Таблица №10'!C285</f>
        <v>1001</v>
      </c>
      <c r="C284" s="178"/>
      <c r="D284" s="178"/>
      <c r="E284" s="178"/>
      <c r="F284" s="94">
        <f>'Таблица №10'!G285</f>
        <v>4310.14951</v>
      </c>
      <c r="G284" s="94">
        <f>'Таблица №10'!H285</f>
        <v>4310.14951</v>
      </c>
      <c r="H284" s="163">
        <f t="shared" si="4"/>
        <v>100</v>
      </c>
    </row>
    <row r="285" spans="1:8" ht="15" customHeight="1" outlineLevel="3">
      <c r="A285" s="78" t="str">
        <f>'Таблица №10'!A286</f>
        <v>Непрограммные расходы органов местного самоуправления Алексеевского муниципального района</v>
      </c>
      <c r="B285" s="178" t="str">
        <f>'Таблица №10'!C286</f>
        <v>1001</v>
      </c>
      <c r="C285" s="178" t="str">
        <f>'Таблица №10'!D286</f>
        <v>99</v>
      </c>
      <c r="D285" s="178">
        <f>'Таблица №10'!E286</f>
        <v>0</v>
      </c>
      <c r="E285" s="178"/>
      <c r="F285" s="94">
        <f>'Таблица №10'!G286</f>
        <v>4310.14951</v>
      </c>
      <c r="G285" s="94">
        <f>'Таблица №10'!H286</f>
        <v>4310.14951</v>
      </c>
      <c r="H285" s="163">
        <f t="shared" si="4"/>
        <v>100</v>
      </c>
    </row>
    <row r="286" spans="1:8" s="15" customFormat="1" ht="12.75" outlineLevel="2">
      <c r="A286" s="78" t="str">
        <f>'Таблица №10'!A287</f>
        <v>Социальное обеспечение и иные выплаты населению</v>
      </c>
      <c r="B286" s="178" t="str">
        <f>'Таблица №10'!C287</f>
        <v>1001</v>
      </c>
      <c r="C286" s="178" t="str">
        <f>'Таблица №10'!D287</f>
        <v>99</v>
      </c>
      <c r="D286" s="178">
        <f>'Таблица №10'!E287</f>
        <v>0</v>
      </c>
      <c r="E286" s="178">
        <f>'Таблица №10'!F287</f>
        <v>300</v>
      </c>
      <c r="F286" s="94">
        <f>'Таблица №10'!G287</f>
        <v>4310.14951</v>
      </c>
      <c r="G286" s="94">
        <f>'Таблица №10'!H287</f>
        <v>4310.14951</v>
      </c>
      <c r="H286" s="163">
        <f t="shared" si="4"/>
        <v>100</v>
      </c>
    </row>
    <row r="287" spans="1:8" s="15" customFormat="1" ht="14.25" customHeight="1" outlineLevel="2">
      <c r="A287" s="78" t="str">
        <f>'Таблица №10'!A288</f>
        <v>Социальное обеспечение населения</v>
      </c>
      <c r="B287" s="178" t="str">
        <f>'Таблица №10'!C288</f>
        <v>1003</v>
      </c>
      <c r="C287" s="178"/>
      <c r="D287" s="178"/>
      <c r="E287" s="178"/>
      <c r="F287" s="94">
        <f>'Таблица №10'!G288</f>
        <v>14638.132000000001</v>
      </c>
      <c r="G287" s="94">
        <f>'Таблица №10'!H288</f>
        <v>13243.794090000001</v>
      </c>
      <c r="H287" s="163">
        <f t="shared" si="4"/>
        <v>90.47461855105556</v>
      </c>
    </row>
    <row r="288" spans="1:8" s="15" customFormat="1" ht="75.75" customHeight="1" outlineLevel="2">
      <c r="A288" s="78" t="str">
        <f>'Таблица №10'!A289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288" s="178" t="str">
        <f>'Таблица №10'!C289</f>
        <v>1003</v>
      </c>
      <c r="C288" s="178" t="str">
        <f>'Таблица №10'!D289</f>
        <v>14</v>
      </c>
      <c r="D288" s="178">
        <f>'Таблица №10'!E289</f>
        <v>0</v>
      </c>
      <c r="E288" s="178"/>
      <c r="F288" s="94">
        <f>'Таблица №10'!G289</f>
        <v>828.227</v>
      </c>
      <c r="G288" s="94">
        <f>'Таблица №10'!H289</f>
        <v>828.227</v>
      </c>
      <c r="H288" s="163">
        <f t="shared" si="4"/>
        <v>100</v>
      </c>
    </row>
    <row r="289" spans="1:8" ht="12.75" outlineLevel="3">
      <c r="A289" s="78" t="str">
        <f>'Таблица №10'!A290</f>
        <v>Социальное обеспечение и иные выплаты населению</v>
      </c>
      <c r="B289" s="178" t="str">
        <f>'Таблица №10'!C290</f>
        <v>1003</v>
      </c>
      <c r="C289" s="178" t="str">
        <f>'Таблица №10'!D290</f>
        <v>14</v>
      </c>
      <c r="D289" s="178">
        <f>'Таблица №10'!E290</f>
        <v>0</v>
      </c>
      <c r="E289" s="178">
        <f>'Таблица №10'!F290</f>
        <v>300</v>
      </c>
      <c r="F289" s="94">
        <f>'Таблица №10'!G290</f>
        <v>828.227</v>
      </c>
      <c r="G289" s="94">
        <f>'Таблица №10'!H290</f>
        <v>828.227</v>
      </c>
      <c r="H289" s="163">
        <f t="shared" si="4"/>
        <v>100</v>
      </c>
    </row>
    <row r="290" spans="1:8" ht="14.25" customHeight="1" outlineLevel="1">
      <c r="A290" s="78" t="str">
        <f>'Таблица №10'!A291</f>
        <v>Непрограммные расходы органов местного самоуправления Алексеевского муниципального района</v>
      </c>
      <c r="B290" s="178" t="str">
        <f>'Таблица №10'!C291</f>
        <v>1003</v>
      </c>
      <c r="C290" s="178" t="str">
        <f>'Таблица №10'!D291</f>
        <v>99</v>
      </c>
      <c r="D290" s="178">
        <f>'Таблица №10'!E291</f>
        <v>0</v>
      </c>
      <c r="E290" s="178"/>
      <c r="F290" s="94">
        <f>'Таблица №10'!G291</f>
        <v>13809.905</v>
      </c>
      <c r="G290" s="94">
        <f>'Таблица №10'!H291</f>
        <v>12415.56709</v>
      </c>
      <c r="H290" s="163">
        <f t="shared" si="4"/>
        <v>89.90334900927994</v>
      </c>
    </row>
    <row r="291" spans="1:8" ht="14.25" customHeight="1" outlineLevel="1">
      <c r="A291" s="78" t="str">
        <f>'Таблица №10'!A292</f>
        <v>Резервный фонд Администрации Волгоградской области</v>
      </c>
      <c r="B291" s="178" t="str">
        <f>'Таблица №10'!C292</f>
        <v>1003</v>
      </c>
      <c r="C291" s="178" t="str">
        <f>'Таблица №10'!D292</f>
        <v>99</v>
      </c>
      <c r="D291" s="178">
        <f>'Таблица №10'!E292</f>
        <v>0</v>
      </c>
      <c r="E291" s="178"/>
      <c r="F291" s="94">
        <f>'Таблица №10'!G292</f>
        <v>1018</v>
      </c>
      <c r="G291" s="94">
        <f>'Таблица №10'!H292</f>
        <v>1000</v>
      </c>
      <c r="H291" s="163">
        <f t="shared" si="4"/>
        <v>98.23182711198429</v>
      </c>
    </row>
    <row r="292" spans="1:8" ht="11.25" customHeight="1" outlineLevel="1">
      <c r="A292" s="78" t="str">
        <f>'Таблица №10'!A293</f>
        <v>Социальное обеспечение и иные выплаты населению</v>
      </c>
      <c r="B292" s="178" t="str">
        <f>'Таблица №10'!C293</f>
        <v>1003</v>
      </c>
      <c r="C292" s="178" t="str">
        <f>'Таблица №10'!D293</f>
        <v>99</v>
      </c>
      <c r="D292" s="178">
        <f>'Таблица №10'!E293</f>
        <v>0</v>
      </c>
      <c r="E292" s="178">
        <f>'Таблица №10'!F293</f>
        <v>300</v>
      </c>
      <c r="F292" s="94">
        <f>'Таблица №10'!G293</f>
        <v>1018</v>
      </c>
      <c r="G292" s="94">
        <f>'Таблица №10'!H293</f>
        <v>1000</v>
      </c>
      <c r="H292" s="163">
        <f t="shared" si="4"/>
        <v>98.23182711198429</v>
      </c>
    </row>
    <row r="293" spans="1:8" ht="0.75" customHeight="1" hidden="1" outlineLevel="1">
      <c r="A293" s="78" t="str">
        <f>'Таблица №10'!A294</f>
        <v>Закупка товаров, работ и услуг для государственных (муниципальных) нужд</v>
      </c>
      <c r="B293" s="178" t="str">
        <f>'Таблица №10'!C294</f>
        <v>1003</v>
      </c>
      <c r="C293" s="178" t="str">
        <f>'Таблица №10'!D294</f>
        <v>99</v>
      </c>
      <c r="D293" s="178">
        <f>'Таблица №10'!E294</f>
        <v>0</v>
      </c>
      <c r="E293" s="178">
        <f>'Таблица №10'!F294</f>
        <v>200</v>
      </c>
      <c r="F293" s="94">
        <f>'Таблица №10'!G294</f>
        <v>0</v>
      </c>
      <c r="G293" s="94">
        <f>'Таблица №10'!H294</f>
        <v>0</v>
      </c>
      <c r="H293" s="163" t="e">
        <f t="shared" si="4"/>
        <v>#DIV/0!</v>
      </c>
    </row>
    <row r="294" spans="1:8" ht="77.25" customHeight="1" outlineLevel="1">
      <c r="A294" s="78" t="str">
        <f>'Таблица №10'!A295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294" s="178" t="str">
        <f>'Таблица №10'!C295</f>
        <v>1003</v>
      </c>
      <c r="C294" s="178" t="str">
        <f>'Таблица №10'!D295</f>
        <v>99</v>
      </c>
      <c r="D294" s="178">
        <f>'Таблица №10'!E295</f>
        <v>0</v>
      </c>
      <c r="E294" s="178"/>
      <c r="F294" s="94">
        <f>'Таблица №10'!G295</f>
        <v>8625.005000000001</v>
      </c>
      <c r="G294" s="94">
        <f>'Таблица №10'!H295</f>
        <v>7815.778</v>
      </c>
      <c r="H294" s="163">
        <f t="shared" si="4"/>
        <v>90.61766341005018</v>
      </c>
    </row>
    <row r="295" spans="1:8" ht="13.5" customHeight="1" outlineLevel="2">
      <c r="A295" s="78" t="str">
        <f>'Таблица №10'!A296</f>
        <v>Социальное обеспечение и иные выплаты населению</v>
      </c>
      <c r="B295" s="178" t="str">
        <f>'Таблица №10'!C296</f>
        <v>1003</v>
      </c>
      <c r="C295" s="178" t="str">
        <f>'Таблица №10'!D296</f>
        <v>99</v>
      </c>
      <c r="D295" s="178">
        <f>'Таблица №10'!E296</f>
        <v>0</v>
      </c>
      <c r="E295" s="178">
        <f>'Таблица №10'!F296</f>
        <v>300</v>
      </c>
      <c r="F295" s="94">
        <f>'Таблица №10'!G296</f>
        <v>8539.609</v>
      </c>
      <c r="G295" s="94">
        <f>'Таблица №10'!H296</f>
        <v>7738.39448</v>
      </c>
      <c r="H295" s="163">
        <f t="shared" si="4"/>
        <v>90.61766738968961</v>
      </c>
    </row>
    <row r="296" spans="1:8" ht="24.75" customHeight="1" outlineLevel="3">
      <c r="A296" s="78" t="str">
        <f>'Таблица №10'!A297</f>
        <v>Закупка товаров, работ и услуг для государственных (муниципальных) нужд</v>
      </c>
      <c r="B296" s="178" t="str">
        <f>'Таблица №10'!C297</f>
        <v>1003</v>
      </c>
      <c r="C296" s="178" t="str">
        <f>'Таблица №10'!D297</f>
        <v>99</v>
      </c>
      <c r="D296" s="178">
        <f>'Таблица №10'!E297</f>
        <v>0</v>
      </c>
      <c r="E296" s="178">
        <f>'Таблица №10'!F297</f>
        <v>200</v>
      </c>
      <c r="F296" s="94">
        <f>'Таблица №10'!G297</f>
        <v>85.396</v>
      </c>
      <c r="G296" s="94">
        <f>'Таблица №10'!H297</f>
        <v>77.38352</v>
      </c>
      <c r="H296" s="163">
        <f t="shared" si="4"/>
        <v>90.61726544568832</v>
      </c>
    </row>
    <row r="297" spans="1:8" ht="73.5" customHeight="1">
      <c r="A297" s="78" t="str">
        <f>'Таблица №10'!A298</f>
        <v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v>
      </c>
      <c r="B297" s="178" t="str">
        <f>'Таблица №10'!C298</f>
        <v>1003</v>
      </c>
      <c r="C297" s="178" t="str">
        <f>'Таблица №10'!D298</f>
        <v>99</v>
      </c>
      <c r="D297" s="178">
        <f>'Таблица №10'!E298</f>
        <v>0</v>
      </c>
      <c r="E297" s="178">
        <f>'Таблица №10'!F298</f>
        <v>300</v>
      </c>
      <c r="F297" s="94">
        <f>'Таблица №10'!G298</f>
        <v>751.9</v>
      </c>
      <c r="G297" s="94">
        <f>'Таблица №10'!H298</f>
        <v>583.08909</v>
      </c>
      <c r="H297" s="163">
        <f t="shared" si="4"/>
        <v>77.54875515361086</v>
      </c>
    </row>
    <row r="298" spans="1:8" ht="72" outlineLevel="1">
      <c r="A298" s="78" t="str">
        <f>'Таблица №10'!A299</f>
        <v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местности, рабочих поселках (поселках городского типа) на территории Волгоградской области</v>
      </c>
      <c r="B298" s="178" t="str">
        <f>'Таблица №10'!C299</f>
        <v>1003</v>
      </c>
      <c r="C298" s="178" t="str">
        <f>'Таблица №10'!D299</f>
        <v>99</v>
      </c>
      <c r="D298" s="178">
        <f>'Таблица №10'!E299</f>
        <v>0</v>
      </c>
      <c r="E298" s="178">
        <f>'Таблица №10'!F299</f>
        <v>300</v>
      </c>
      <c r="F298" s="94">
        <f>'Таблица №10'!G299</f>
        <v>31.000000000000004</v>
      </c>
      <c r="G298" s="94">
        <f>'Таблица №10'!H299</f>
        <v>31</v>
      </c>
      <c r="H298" s="163">
        <f t="shared" si="4"/>
        <v>99.99999999999999</v>
      </c>
    </row>
    <row r="299" spans="1:8" ht="90" customHeight="1" outlineLevel="1">
      <c r="A299" s="78" t="str">
        <f>'Таблица №10'!A300</f>
        <v>Реализация Закона Волгоградской области от 13 августа 2007 г. №1518-ОД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в Волгоградской области и работающим в сельской местности, рабочих поселках (поселках городского типа) на территории Волгоградской области"</v>
      </c>
      <c r="B299" s="178" t="str">
        <f>'Таблица №10'!C300</f>
        <v>1003</v>
      </c>
      <c r="C299" s="178" t="str">
        <f>'Таблица №10'!D300</f>
        <v>99</v>
      </c>
      <c r="D299" s="178">
        <f>'Таблица №10'!E300</f>
        <v>0</v>
      </c>
      <c r="E299" s="178">
        <f>'Таблица №10'!F300</f>
        <v>300</v>
      </c>
      <c r="F299" s="94">
        <f>'Таблица №10'!G300</f>
        <v>3384</v>
      </c>
      <c r="G299" s="94">
        <f>'Таблица №10'!H300</f>
        <v>2985.7</v>
      </c>
      <c r="H299" s="163">
        <f t="shared" si="4"/>
        <v>88.22990543735224</v>
      </c>
    </row>
    <row r="300" spans="1:8" ht="12.75" outlineLevel="1">
      <c r="A300" s="78" t="str">
        <f>'Таблица №10'!A301</f>
        <v>Охрана семьи и детства</v>
      </c>
      <c r="B300" s="178" t="str">
        <f>'Таблица №10'!C301</f>
        <v>1004</v>
      </c>
      <c r="C300" s="178"/>
      <c r="D300" s="178"/>
      <c r="E300" s="178"/>
      <c r="F300" s="94">
        <f>'Таблица №10'!G301</f>
        <v>7087.671559999999</v>
      </c>
      <c r="G300" s="94">
        <f>'Таблица №10'!H301</f>
        <v>6911.5</v>
      </c>
      <c r="H300" s="163">
        <f t="shared" si="4"/>
        <v>97.5143944170009</v>
      </c>
    </row>
    <row r="301" spans="1:8" ht="27" customHeight="1" hidden="1" outlineLevel="1">
      <c r="A301" s="78" t="str">
        <f>'Таблица №10'!A302</f>
        <v>Муниципальная программа "Молодой семье – доступное жилье на территории Алексеевского муниципального района на 2019-2020 годы"</v>
      </c>
      <c r="B301" s="178" t="str">
        <f>'Таблица №10'!C302</f>
        <v>1004</v>
      </c>
      <c r="C301" s="178" t="str">
        <f>'Таблица №10'!D302</f>
        <v>11</v>
      </c>
      <c r="D301" s="178">
        <f>'Таблица №10'!E302</f>
        <v>0</v>
      </c>
      <c r="E301" s="178"/>
      <c r="F301" s="94">
        <f>'Таблица №10'!G302</f>
        <v>0</v>
      </c>
      <c r="G301" s="94">
        <f>'Таблица №10'!H302</f>
        <v>0</v>
      </c>
      <c r="H301" s="163" t="e">
        <f t="shared" si="4"/>
        <v>#DIV/0!</v>
      </c>
    </row>
    <row r="302" spans="1:8" ht="21.75" customHeight="1" hidden="1" outlineLevel="5">
      <c r="A302" s="78" t="str">
        <f>'Таблица №10'!A303</f>
        <v>Социальное обеспечение и иные выплаты населению</v>
      </c>
      <c r="B302" s="178" t="str">
        <f>'Таблица №10'!C303</f>
        <v>1004</v>
      </c>
      <c r="C302" s="178" t="str">
        <f>'Таблица №10'!D303</f>
        <v>11</v>
      </c>
      <c r="D302" s="178">
        <f>'Таблица №10'!E303</f>
        <v>0</v>
      </c>
      <c r="E302" s="178">
        <f>'Таблица №10'!F303</f>
        <v>300</v>
      </c>
      <c r="F302" s="94">
        <f>'Таблица №10'!G303</f>
        <v>0</v>
      </c>
      <c r="G302" s="94">
        <f>'Таблица №10'!H303</f>
        <v>0</v>
      </c>
      <c r="H302" s="163" t="e">
        <f t="shared" si="4"/>
        <v>#DIV/0!</v>
      </c>
    </row>
    <row r="303" spans="1:8" ht="16.5" customHeight="1" outlineLevel="5">
      <c r="A303" s="78" t="str">
        <f>'Таблица №10'!A304</f>
        <v>Непрограммные расходы органов местного самоуправления Алексеевского муниципального района</v>
      </c>
      <c r="B303" s="178" t="str">
        <f>'Таблица №10'!C304</f>
        <v>1004</v>
      </c>
      <c r="C303" s="178" t="str">
        <f>'Таблица №10'!D304</f>
        <v>99</v>
      </c>
      <c r="D303" s="178">
        <f>'Таблица №10'!E304</f>
        <v>0</v>
      </c>
      <c r="E303" s="178"/>
      <c r="F303" s="94">
        <f>'Таблица №10'!G304</f>
        <v>7087.671559999999</v>
      </c>
      <c r="G303" s="94">
        <f>'Таблица №10'!H304</f>
        <v>6911.5</v>
      </c>
      <c r="H303" s="163">
        <f t="shared" si="4"/>
        <v>97.5143944170009</v>
      </c>
    </row>
    <row r="304" spans="1:8" ht="27" customHeight="1" outlineLevel="2">
      <c r="A304" s="78" t="str">
        <f>'Таблица №10'!A305</f>
        <v>Компенсации части родительской платы за содержание ребенка (присмотр и уход за ребенком) в муниципальных образовательных организациях, реализующих основную общеобразовательную программу дошкольного образования в соответствии с Законом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образования"</v>
      </c>
      <c r="B304" s="178" t="str">
        <f>'Таблица №10'!C305</f>
        <v>1004</v>
      </c>
      <c r="C304" s="178" t="str">
        <f>'Таблица №10'!D305</f>
        <v>99</v>
      </c>
      <c r="D304" s="178">
        <f>'Таблица №10'!E305</f>
        <v>0</v>
      </c>
      <c r="E304" s="178"/>
      <c r="F304" s="94">
        <f>'Таблица №10'!G305</f>
        <v>319.99999999999994</v>
      </c>
      <c r="G304" s="94">
        <f>'Таблица №10'!H305</f>
        <v>319.99999999999994</v>
      </c>
      <c r="H304" s="163">
        <f t="shared" si="4"/>
        <v>100</v>
      </c>
    </row>
    <row r="305" spans="1:8" ht="14.25" customHeight="1" outlineLevel="3">
      <c r="A305" s="78" t="str">
        <f>'Таблица №10'!A306</f>
        <v>Социальное обеспечение и иные выплаты населению</v>
      </c>
      <c r="B305" s="178" t="str">
        <f>'Таблица №10'!C306</f>
        <v>1004</v>
      </c>
      <c r="C305" s="178" t="str">
        <f>'Таблица №10'!D306</f>
        <v>99</v>
      </c>
      <c r="D305" s="178">
        <f>'Таблица №10'!E306</f>
        <v>0</v>
      </c>
      <c r="E305" s="178">
        <f>'Таблица №10'!F306</f>
        <v>300</v>
      </c>
      <c r="F305" s="94">
        <f>'Таблица №10'!G306</f>
        <v>316.83169999999996</v>
      </c>
      <c r="G305" s="94">
        <f>'Таблица №10'!H306</f>
        <v>316.83169999999996</v>
      </c>
      <c r="H305" s="163">
        <f t="shared" si="4"/>
        <v>100</v>
      </c>
    </row>
    <row r="306" spans="1:8" ht="24" outlineLevel="2">
      <c r="A306" s="78" t="str">
        <f>'Таблица №10'!A307</f>
        <v>Закупка товаров, работ и услуг для государственных (муниципальных) нужд</v>
      </c>
      <c r="B306" s="178" t="str">
        <f>'Таблица №10'!C307</f>
        <v>1004</v>
      </c>
      <c r="C306" s="178" t="str">
        <f>'Таблица №10'!D307</f>
        <v>99</v>
      </c>
      <c r="D306" s="178">
        <f>'Таблица №10'!E307</f>
        <v>0</v>
      </c>
      <c r="E306" s="178">
        <f>'Таблица №10'!F307</f>
        <v>200</v>
      </c>
      <c r="F306" s="94">
        <f>'Таблица №10'!G307</f>
        <v>3.1683</v>
      </c>
      <c r="G306" s="94">
        <f>'Таблица №10'!H307</f>
        <v>3.1683</v>
      </c>
      <c r="H306" s="163">
        <f t="shared" si="4"/>
        <v>100</v>
      </c>
    </row>
    <row r="307" spans="1:8" ht="75.75" customHeight="1" outlineLevel="3">
      <c r="A307" s="78" t="str">
        <f>'Таблица №10'!A308</f>
        <v>Реализация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v>
      </c>
      <c r="B307" s="178" t="str">
        <f>'Таблица №10'!C308</f>
        <v>1004</v>
      </c>
      <c r="C307" s="178" t="str">
        <f>'Таблица №10'!D308</f>
        <v>99</v>
      </c>
      <c r="D307" s="178">
        <f>'Таблица №10'!E308</f>
        <v>0</v>
      </c>
      <c r="E307" s="178"/>
      <c r="F307" s="94">
        <f>'Таблица №10'!G308</f>
        <v>6741.299999999999</v>
      </c>
      <c r="G307" s="94">
        <f>'Таблица №10'!H308</f>
        <v>6591.5</v>
      </c>
      <c r="H307" s="163">
        <f t="shared" si="4"/>
        <v>97.77787667067184</v>
      </c>
    </row>
    <row r="308" spans="1:8" ht="15" customHeight="1" outlineLevel="3">
      <c r="A308" s="78" t="str">
        <f>'Таблица №10'!A309</f>
        <v>на выплату пособий по опеке и попечительству</v>
      </c>
      <c r="B308" s="178" t="str">
        <f>'Таблица №10'!C309</f>
        <v>1004</v>
      </c>
      <c r="C308" s="178" t="str">
        <f>'Таблица №10'!D309</f>
        <v>99</v>
      </c>
      <c r="D308" s="178">
        <f>'Таблица №10'!E309</f>
        <v>0</v>
      </c>
      <c r="E308" s="178">
        <f>'Таблица №10'!F309</f>
        <v>300</v>
      </c>
      <c r="F308" s="94">
        <f>'Таблица №10'!G309</f>
        <v>5308.9</v>
      </c>
      <c r="G308" s="94">
        <f>'Таблица №10'!H309</f>
        <v>5211.1</v>
      </c>
      <c r="H308" s="163">
        <f t="shared" si="4"/>
        <v>98.1578104692121</v>
      </c>
    </row>
    <row r="309" spans="1:8" ht="27" customHeight="1" outlineLevel="3">
      <c r="A309" s="78" t="str">
        <f>'Таблица №10'!A310</f>
        <v>на вознаграждение за труд, причитающегося приемным родителям (патронатному воспитателю), и предоставление им мер социальной поддержки </v>
      </c>
      <c r="B309" s="178" t="str">
        <f>'Таблица №10'!C310</f>
        <v>1004</v>
      </c>
      <c r="C309" s="178" t="str">
        <f>'Таблица №10'!D310</f>
        <v>99</v>
      </c>
      <c r="D309" s="178">
        <f>'Таблица №10'!E310</f>
        <v>0</v>
      </c>
      <c r="E309" s="178">
        <f>'Таблица №10'!F310</f>
        <v>300</v>
      </c>
      <c r="F309" s="94">
        <f>'Таблица №10'!G310</f>
        <v>1432.4</v>
      </c>
      <c r="G309" s="94">
        <f>'Таблица №10'!H310</f>
        <v>1380.4</v>
      </c>
      <c r="H309" s="163">
        <f t="shared" si="4"/>
        <v>96.36972912594247</v>
      </c>
    </row>
    <row r="310" spans="1:8" ht="50.25" customHeight="1" outlineLevel="3">
      <c r="A310" s="78" t="str">
        <f>'Таблица №10'!A311</f>
        <v>Субвенция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v>
      </c>
      <c r="B310" s="178" t="str">
        <f>'Таблица №10'!C311</f>
        <v>1004</v>
      </c>
      <c r="C310" s="178" t="str">
        <f>'Таблица №10'!D311</f>
        <v>99</v>
      </c>
      <c r="D310" s="178">
        <f>'Таблица №10'!E311</f>
        <v>0</v>
      </c>
      <c r="E310" s="178"/>
      <c r="F310" s="94">
        <f>'Таблица №10'!G311</f>
        <v>26.37156</v>
      </c>
      <c r="G310" s="94">
        <f>'Таблица №10'!H311</f>
        <v>0</v>
      </c>
      <c r="H310" s="163">
        <f t="shared" si="4"/>
        <v>0</v>
      </c>
    </row>
    <row r="311" spans="1:8" ht="27" customHeight="1" outlineLevel="3">
      <c r="A311" s="78" t="str">
        <f>'Таблица №10'!A312</f>
        <v>Закупка товаров, работ и услуг для государственных (муниципальных) нужд</v>
      </c>
      <c r="B311" s="178" t="str">
        <f>'Таблица №10'!C312</f>
        <v>1004</v>
      </c>
      <c r="C311" s="178" t="str">
        <f>'Таблица №10'!D312</f>
        <v>99</v>
      </c>
      <c r="D311" s="178">
        <f>'Таблица №10'!E312</f>
        <v>0</v>
      </c>
      <c r="E311" s="178">
        <f>'Таблица №10'!F312</f>
        <v>200</v>
      </c>
      <c r="F311" s="94">
        <f>'Таблица №10'!G312</f>
        <v>26.37156</v>
      </c>
      <c r="G311" s="94">
        <f>'Таблица №10'!H312</f>
        <v>0</v>
      </c>
      <c r="H311" s="163">
        <f t="shared" si="4"/>
        <v>0</v>
      </c>
    </row>
    <row r="312" spans="1:8" ht="19.5" customHeight="1" outlineLevel="3">
      <c r="A312" s="78" t="str">
        <f>'Таблица №10'!A313</f>
        <v>Другие вопросы в области социальной политики</v>
      </c>
      <c r="B312" s="178" t="str">
        <f>'Таблица №10'!C313</f>
        <v>1006</v>
      </c>
      <c r="C312" s="178">
        <f>'Таблица №10'!D313</f>
        <v>0</v>
      </c>
      <c r="D312" s="178">
        <f>'Таблица №10'!E313</f>
        <v>0</v>
      </c>
      <c r="E312" s="178">
        <f>'Таблица №10'!F313</f>
        <v>0</v>
      </c>
      <c r="F312" s="94">
        <f>'Таблица №10'!G313</f>
        <v>999.395</v>
      </c>
      <c r="G312" s="94">
        <f>'Таблица №10'!H313</f>
        <v>999.395</v>
      </c>
      <c r="H312" s="163">
        <f t="shared" si="4"/>
        <v>100</v>
      </c>
    </row>
    <row r="313" spans="1:8" ht="24" customHeight="1" outlineLevel="3">
      <c r="A313" s="78" t="str">
        <f>'Таблица №10'!A314</f>
        <v>Непрограммные расходы органов местного самоуправления Алексеевского муниципального района</v>
      </c>
      <c r="B313" s="178" t="str">
        <f>'Таблица №10'!C314</f>
        <v>1006</v>
      </c>
      <c r="C313" s="178" t="str">
        <f>'Таблица №10'!D314</f>
        <v>99</v>
      </c>
      <c r="D313" s="178">
        <f>'Таблица №10'!E314</f>
        <v>0</v>
      </c>
      <c r="E313" s="178">
        <f>'Таблица №10'!F314</f>
        <v>0</v>
      </c>
      <c r="F313" s="94">
        <f>'Таблица №10'!G314</f>
        <v>999.395</v>
      </c>
      <c r="G313" s="94">
        <f>'Таблица №10'!H314</f>
        <v>999.395</v>
      </c>
      <c r="H313" s="163">
        <f t="shared" si="4"/>
        <v>100</v>
      </c>
    </row>
    <row r="314" spans="1:8" ht="52.5" customHeight="1" outlineLevel="3">
      <c r="A314" s="78" t="str">
        <f>'Таблица №10'!A315</f>
        <v>Субвенции на предоставление субсидий гражданам на оплату жилья и коммунальных услуг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v>
      </c>
      <c r="B314" s="178" t="str">
        <f>'Таблица №10'!C315</f>
        <v>1006</v>
      </c>
      <c r="C314" s="178" t="str">
        <f>'Таблица №10'!D315</f>
        <v>99</v>
      </c>
      <c r="D314" s="178">
        <f>'Таблица №10'!E315</f>
        <v>0</v>
      </c>
      <c r="E314" s="178">
        <f>'Таблица №10'!F315</f>
        <v>0</v>
      </c>
      <c r="F314" s="94">
        <f>'Таблица №10'!G315</f>
        <v>999.395</v>
      </c>
      <c r="G314" s="94">
        <f>'Таблица №10'!H315</f>
        <v>999.395</v>
      </c>
      <c r="H314" s="163">
        <f t="shared" si="4"/>
        <v>100</v>
      </c>
    </row>
    <row r="315" spans="1:8" ht="25.5" customHeight="1" outlineLevel="2">
      <c r="A315" s="78" t="str">
        <f>'Таблица №10'!A316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5" s="178" t="str">
        <f>'Таблица №10'!C316</f>
        <v>1006</v>
      </c>
      <c r="C315" s="178" t="str">
        <f>'Таблица №10'!D316</f>
        <v>99</v>
      </c>
      <c r="D315" s="178">
        <f>'Таблица №10'!E316</f>
        <v>0</v>
      </c>
      <c r="E315" s="178">
        <f>'Таблица №10'!F316</f>
        <v>100</v>
      </c>
      <c r="F315" s="94">
        <f>'Таблица №10'!G316</f>
        <v>966.13807</v>
      </c>
      <c r="G315" s="94">
        <f>'Таблица №10'!H316</f>
        <v>966.13807</v>
      </c>
      <c r="H315" s="163">
        <f t="shared" si="4"/>
        <v>100</v>
      </c>
    </row>
    <row r="316" spans="1:8" ht="15.75" customHeight="1" outlineLevel="2">
      <c r="A316" s="78" t="str">
        <f>'Таблица №10'!A317</f>
        <v>Закупка товаров, работ и услуг для государственных (муниципальных) нужд</v>
      </c>
      <c r="B316" s="178" t="str">
        <f>'Таблица №10'!C317</f>
        <v>1006</v>
      </c>
      <c r="C316" s="178" t="str">
        <f>'Таблица №10'!D317</f>
        <v>99</v>
      </c>
      <c r="D316" s="178">
        <f>'Таблица №10'!E317</f>
        <v>0</v>
      </c>
      <c r="E316" s="178">
        <f>'Таблица №10'!F317</f>
        <v>200</v>
      </c>
      <c r="F316" s="94">
        <f>'Таблица №10'!G317</f>
        <v>33.25693</v>
      </c>
      <c r="G316" s="94">
        <f>'Таблица №10'!H317</f>
        <v>33.25693</v>
      </c>
      <c r="H316" s="163">
        <f t="shared" si="4"/>
        <v>100</v>
      </c>
    </row>
    <row r="317" spans="1:8" ht="15.75" customHeight="1" outlineLevel="2">
      <c r="A317" s="78" t="str">
        <f>'Таблица №10'!A318</f>
        <v>Физическая культура и спорт</v>
      </c>
      <c r="B317" s="178" t="str">
        <f>'Таблица №10'!C318</f>
        <v>1100</v>
      </c>
      <c r="C317" s="178"/>
      <c r="D317" s="178"/>
      <c r="E317" s="178"/>
      <c r="F317" s="94">
        <f>'Таблица №10'!G318</f>
        <v>400</v>
      </c>
      <c r="G317" s="94">
        <f>'Таблица №10'!H318</f>
        <v>400</v>
      </c>
      <c r="H317" s="163">
        <f t="shared" si="4"/>
        <v>100</v>
      </c>
    </row>
    <row r="318" spans="1:8" ht="15.75" customHeight="1" hidden="1" outlineLevel="2">
      <c r="A318" s="78" t="str">
        <f>'Таблица №10'!A319</f>
        <v>Физическая культура </v>
      </c>
      <c r="B318" s="178" t="str">
        <f>'Таблица №10'!C319</f>
        <v>1101</v>
      </c>
      <c r="C318" s="178"/>
      <c r="D318" s="178"/>
      <c r="E318" s="178"/>
      <c r="F318" s="94">
        <f>'Таблица №10'!G319</f>
        <v>0</v>
      </c>
      <c r="G318" s="94">
        <f>'Таблица №10'!H319</f>
        <v>0</v>
      </c>
      <c r="H318" s="163" t="e">
        <f t="shared" si="4"/>
        <v>#DIV/0!</v>
      </c>
    </row>
    <row r="319" spans="1:8" ht="26.25" customHeight="1" hidden="1" outlineLevel="2">
      <c r="A319" s="78" t="str">
        <f>'Таблица №10'!A320</f>
        <v>Муниципальная программа "Комплексное развитие сельских территорий"</v>
      </c>
      <c r="B319" s="178" t="str">
        <f>'Таблица №10'!C320</f>
        <v>1101</v>
      </c>
      <c r="C319" s="178" t="str">
        <f>'Таблица №10'!D320</f>
        <v>03</v>
      </c>
      <c r="D319" s="178">
        <f>'Таблица №10'!E320</f>
        <v>0</v>
      </c>
      <c r="E319" s="178"/>
      <c r="F319" s="94">
        <f>'Таблица №10'!G320</f>
        <v>0</v>
      </c>
      <c r="G319" s="94">
        <f>'Таблица №10'!H320</f>
        <v>0</v>
      </c>
      <c r="H319" s="163" t="e">
        <f t="shared" si="4"/>
        <v>#DIV/0!</v>
      </c>
    </row>
    <row r="320" spans="1:8" ht="15.75" customHeight="1" hidden="1" outlineLevel="2">
      <c r="A320" s="78" t="str">
        <f>'Таблица №10'!A321</f>
        <v>Капитальные вложения в объекты государственной (муниципальной) собственности за счет субсидий на реализацию проектов комплексного развития сельских территорий</v>
      </c>
      <c r="B320" s="178" t="str">
        <f>'Таблица №10'!C321</f>
        <v>1101</v>
      </c>
      <c r="C320" s="178" t="str">
        <f>'Таблица №10'!D321</f>
        <v>03</v>
      </c>
      <c r="D320" s="178">
        <f>'Таблица №10'!E321</f>
        <v>0</v>
      </c>
      <c r="E320" s="178">
        <f>'Таблица №10'!F321</f>
        <v>400</v>
      </c>
      <c r="F320" s="94">
        <f>'Таблица №10'!G321</f>
        <v>0</v>
      </c>
      <c r="G320" s="94">
        <f>'Таблица №10'!H321</f>
        <v>0</v>
      </c>
      <c r="H320" s="163" t="e">
        <f t="shared" si="4"/>
        <v>#DIV/0!</v>
      </c>
    </row>
    <row r="321" spans="1:8" ht="15.75" customHeight="1" hidden="1" outlineLevel="2">
      <c r="A321" s="78" t="str">
        <f>'Таблица №10'!A322</f>
        <v>Капитальные вложения в объекты государственной (муниципальной) собственности (софинансирование)</v>
      </c>
      <c r="B321" s="178" t="str">
        <f>'Таблица №10'!C322</f>
        <v>1101</v>
      </c>
      <c r="C321" s="178" t="str">
        <f>'Таблица №10'!D322</f>
        <v>03</v>
      </c>
      <c r="D321" s="178">
        <f>'Таблица №10'!E322</f>
        <v>0</v>
      </c>
      <c r="E321" s="178">
        <f>'Таблица №10'!F322</f>
        <v>400</v>
      </c>
      <c r="F321" s="94">
        <f>'Таблица №10'!G322</f>
        <v>0</v>
      </c>
      <c r="G321" s="94">
        <f>'Таблица №10'!H322</f>
        <v>0</v>
      </c>
      <c r="H321" s="163" t="e">
        <f t="shared" si="4"/>
        <v>#DIV/0!</v>
      </c>
    </row>
    <row r="322" spans="1:8" ht="12.75" hidden="1" outlineLevel="2">
      <c r="A322" s="78" t="str">
        <f>'Таблица №10'!A323</f>
        <v>Массовый спорт</v>
      </c>
      <c r="B322" s="178" t="str">
        <f>'Таблица №10'!C323</f>
        <v>1102</v>
      </c>
      <c r="C322" s="178"/>
      <c r="D322" s="178"/>
      <c r="E322" s="178"/>
      <c r="F322" s="94">
        <f>'Таблица №10'!G323</f>
        <v>0</v>
      </c>
      <c r="G322" s="94">
        <f>'Таблица №10'!H323</f>
        <v>0</v>
      </c>
      <c r="H322" s="163" t="e">
        <f t="shared" si="4"/>
        <v>#DIV/0!</v>
      </c>
    </row>
    <row r="323" spans="1:8" ht="36" hidden="1" outlineLevel="2">
      <c r="A323" s="78" t="str">
        <f>'Таблица №10'!A324</f>
        <v>Муниципальная программа "Развитие физической культуры и спорта в Алексеевском муниципальном районе на 2019-2023 годы"</v>
      </c>
      <c r="B323" s="178" t="str">
        <f>'Таблица №10'!C324</f>
        <v>1102</v>
      </c>
      <c r="C323" s="178" t="str">
        <f>'Таблица №10'!D324</f>
        <v>17</v>
      </c>
      <c r="D323" s="178">
        <f>'Таблица №10'!E324</f>
        <v>0</v>
      </c>
      <c r="E323" s="178"/>
      <c r="F323" s="94">
        <f>'Таблица №10'!G324</f>
        <v>0</v>
      </c>
      <c r="G323" s="94">
        <f>'Таблица №10'!H324</f>
        <v>0</v>
      </c>
      <c r="H323" s="163" t="e">
        <f t="shared" si="4"/>
        <v>#DIV/0!</v>
      </c>
    </row>
    <row r="324" spans="1:8" ht="36" hidden="1" outlineLevel="2">
      <c r="A324" s="78" t="str">
        <f>'Таблица №10'!A325</f>
        <v>Субсидия местным бюджетам на дооснащение действующих объектов физической кудьтуры и спорта оборудованием для лиц с ограниченными возможностями здоровья</v>
      </c>
      <c r="B324" s="178" t="str">
        <f>'Таблица №10'!C325</f>
        <v>1102</v>
      </c>
      <c r="C324" s="178" t="str">
        <f>'Таблица №10'!D325</f>
        <v>17</v>
      </c>
      <c r="D324" s="178">
        <f>'Таблица №10'!E325</f>
        <v>0</v>
      </c>
      <c r="E324" s="178">
        <f>'Таблица №10'!F325</f>
        <v>400</v>
      </c>
      <c r="F324" s="94">
        <f>'Таблица №10'!G325</f>
        <v>0</v>
      </c>
      <c r="G324" s="94">
        <f>'Таблица №10'!H325</f>
        <v>0</v>
      </c>
      <c r="H324" s="163" t="e">
        <f t="shared" si="4"/>
        <v>#DIV/0!</v>
      </c>
    </row>
    <row r="325" spans="1:8" ht="24" hidden="1" outlineLevel="3">
      <c r="A325" s="78" t="str">
        <f>'Таблица №10'!A326</f>
        <v>Капитальные вложения в объекты государственной (муниципальной) собственности</v>
      </c>
      <c r="B325" s="178" t="str">
        <f>'Таблица №10'!C326</f>
        <v>1102</v>
      </c>
      <c r="C325" s="178" t="str">
        <f>'Таблица №10'!D326</f>
        <v>17</v>
      </c>
      <c r="D325" s="178">
        <f>'Таблица №10'!E326</f>
        <v>0</v>
      </c>
      <c r="E325" s="178">
        <f>'Таблица №10'!F326</f>
        <v>400</v>
      </c>
      <c r="F325" s="94">
        <f>'Таблица №10'!G326</f>
        <v>0</v>
      </c>
      <c r="G325" s="94">
        <f>'Таблица №10'!H326</f>
        <v>0</v>
      </c>
      <c r="H325" s="163" t="e">
        <f t="shared" si="4"/>
        <v>#DIV/0!</v>
      </c>
    </row>
    <row r="326" spans="1:8" ht="19.5" customHeight="1" outlineLevel="3">
      <c r="A326" s="78" t="str">
        <f>'Таблица №10'!A327</f>
        <v>Другие вопросы в области физической культуры и спорта</v>
      </c>
      <c r="B326" s="178" t="str">
        <f>'Таблица №10'!C327</f>
        <v>1105</v>
      </c>
      <c r="C326" s="178"/>
      <c r="D326" s="178"/>
      <c r="E326" s="178"/>
      <c r="F326" s="94">
        <f>'Таблица №10'!G327</f>
        <v>400</v>
      </c>
      <c r="G326" s="94">
        <f>'Таблица №10'!H327</f>
        <v>400</v>
      </c>
      <c r="H326" s="163">
        <f t="shared" si="4"/>
        <v>100</v>
      </c>
    </row>
    <row r="327" spans="1:8" ht="16.5" customHeight="1" outlineLevel="3">
      <c r="A327" s="78" t="str">
        <f>'Таблица №10'!A328</f>
        <v>Муниципальная программа "Развитие физической культуры и спорта в Алексеевском муниципальном районе на 2019-2023 годы"</v>
      </c>
      <c r="B327" s="178" t="str">
        <f>'Таблица №10'!C328</f>
        <v>1105</v>
      </c>
      <c r="C327" s="178" t="str">
        <f>'Таблица №10'!D328</f>
        <v>17</v>
      </c>
      <c r="D327" s="178">
        <f>'Таблица №10'!E328</f>
        <v>0</v>
      </c>
      <c r="E327" s="178"/>
      <c r="F327" s="94">
        <f>'Таблица №10'!G328</f>
        <v>400</v>
      </c>
      <c r="G327" s="94">
        <f>'Таблица №10'!H328</f>
        <v>400</v>
      </c>
      <c r="H327" s="163">
        <f t="shared" si="4"/>
        <v>100</v>
      </c>
    </row>
    <row r="328" spans="1:8" ht="13.5" customHeight="1" outlineLevel="3">
      <c r="A328" s="78" t="str">
        <f>'Таблица №10'!A329</f>
        <v>Закупка товаров, работ и услуг для государственных (муниципальных) нужд</v>
      </c>
      <c r="B328" s="178" t="str">
        <f>'Таблица №10'!C329</f>
        <v>1105</v>
      </c>
      <c r="C328" s="178" t="str">
        <f>'Таблица №10'!D329</f>
        <v>17</v>
      </c>
      <c r="D328" s="178">
        <f>'Таблица №10'!E329</f>
        <v>0</v>
      </c>
      <c r="E328" s="178">
        <f>'Таблица №10'!F329</f>
        <v>200</v>
      </c>
      <c r="F328" s="94">
        <f>'Таблица №10'!G329</f>
        <v>400</v>
      </c>
      <c r="G328" s="94">
        <f>'Таблица №10'!H329</f>
        <v>400</v>
      </c>
      <c r="H328" s="163">
        <f t="shared" si="4"/>
        <v>100</v>
      </c>
    </row>
    <row r="329" spans="1:8" ht="12.75" outlineLevel="1">
      <c r="A329" s="78" t="str">
        <f>'Таблица №10'!A330</f>
        <v>Средства массовой информации </v>
      </c>
      <c r="B329" s="178" t="str">
        <f>'Таблица №10'!C330</f>
        <v>1200</v>
      </c>
      <c r="C329" s="178"/>
      <c r="D329" s="178"/>
      <c r="E329" s="178"/>
      <c r="F329" s="94">
        <f>'Таблица №10'!G330</f>
        <v>2432.9</v>
      </c>
      <c r="G329" s="94">
        <f>'Таблица №10'!H330</f>
        <v>2432.9</v>
      </c>
      <c r="H329" s="163">
        <f t="shared" si="4"/>
        <v>100</v>
      </c>
    </row>
    <row r="330" spans="1:8" ht="16.5" customHeight="1" outlineLevel="2">
      <c r="A330" s="78" t="str">
        <f>'Таблица №10'!A331</f>
        <v>Периодическая печать и издательство</v>
      </c>
      <c r="B330" s="178" t="str">
        <f>'Таблица №10'!C331</f>
        <v>1202</v>
      </c>
      <c r="C330" s="178"/>
      <c r="D330" s="178"/>
      <c r="E330" s="178"/>
      <c r="F330" s="94">
        <f>'Таблица №10'!G331</f>
        <v>2432.9</v>
      </c>
      <c r="G330" s="94">
        <f>'Таблица №10'!H331</f>
        <v>2432.9</v>
      </c>
      <c r="H330" s="163">
        <f aca="true" t="shared" si="5" ref="H330:H342">SUM(G330/F330)*100</f>
        <v>100</v>
      </c>
    </row>
    <row r="331" spans="1:8" ht="36" outlineLevel="2">
      <c r="A331" s="78" t="str">
        <f>'Таблица №10'!A332</f>
        <v>Ведомственная целевая программа "Поддержка средств массовой информации в Алексеевском муниципальном районе на 2022-2024 годы"</v>
      </c>
      <c r="B331" s="178" t="str">
        <f>'Таблица №10'!C332</f>
        <v>1202</v>
      </c>
      <c r="C331" s="178" t="str">
        <f>'Таблица №10'!D332</f>
        <v>61</v>
      </c>
      <c r="D331" s="178">
        <f>'Таблица №10'!E332</f>
        <v>0</v>
      </c>
      <c r="E331" s="178"/>
      <c r="F331" s="94">
        <f>'Таблица №10'!G332</f>
        <v>2432.9</v>
      </c>
      <c r="G331" s="94">
        <f>'Таблица №10'!H332</f>
        <v>2432.9</v>
      </c>
      <c r="H331" s="163">
        <f t="shared" si="5"/>
        <v>100</v>
      </c>
    </row>
    <row r="332" spans="1:8" ht="24" outlineLevel="5">
      <c r="A332" s="78" t="str">
        <f>'Таблица №10'!A333</f>
        <v>Предоставление субсидий бюджетным, автономным учреждениям и иным некоммерческим организациям</v>
      </c>
      <c r="B332" s="178" t="str">
        <f>'Таблица №10'!C333</f>
        <v>1202</v>
      </c>
      <c r="C332" s="178" t="str">
        <f>'Таблица №10'!D333</f>
        <v>61</v>
      </c>
      <c r="D332" s="178">
        <f>'Таблица №10'!E333</f>
        <v>0</v>
      </c>
      <c r="E332" s="178">
        <f>'Таблица №10'!F333</f>
        <v>600</v>
      </c>
      <c r="F332" s="94">
        <f>'Таблица №10'!G333</f>
        <v>1450</v>
      </c>
      <c r="G332" s="94">
        <f>'Таблица №10'!H333</f>
        <v>1450</v>
      </c>
      <c r="H332" s="163">
        <f t="shared" si="5"/>
        <v>100</v>
      </c>
    </row>
    <row r="333" spans="1:8" ht="96" outlineLevel="5">
      <c r="A333" s="78" t="str">
        <f>'Таблица №10'!A334</f>
        <v>Предоставление субсидий бюджетным, автономным учреждениям и иным некоммерческим организациям (Субсидия из областного бюджета на софинансирование расходных обязательств, возникающих в связи с доведением до сведений жителей информации о социально-экономическом и культурном развитии муниципального района, о развитии его общественной инфраструктуры и иной официальной информации)</v>
      </c>
      <c r="B333" s="178" t="str">
        <f>'Таблица №10'!C334</f>
        <v>1202</v>
      </c>
      <c r="C333" s="178" t="str">
        <f>'Таблица №10'!D334</f>
        <v>61</v>
      </c>
      <c r="D333" s="178">
        <f>'Таблица №10'!E334</f>
        <v>0</v>
      </c>
      <c r="E333" s="178">
        <f>'Таблица №10'!F334</f>
        <v>600</v>
      </c>
      <c r="F333" s="94">
        <f>'Таблица №10'!G334</f>
        <v>982.9</v>
      </c>
      <c r="G333" s="94">
        <f>'Таблица №10'!H334</f>
        <v>982.9</v>
      </c>
      <c r="H333" s="163">
        <f t="shared" si="5"/>
        <v>100</v>
      </c>
    </row>
    <row r="334" spans="1:8" ht="21" customHeight="1" outlineLevel="5">
      <c r="A334" s="78" t="str">
        <f>'Таблица №10'!A335</f>
        <v>Обслуживание государственного (муниципального) долга </v>
      </c>
      <c r="B334" s="178" t="str">
        <f>'Таблица №10'!C335</f>
        <v>1300</v>
      </c>
      <c r="C334" s="178"/>
      <c r="D334" s="178"/>
      <c r="E334" s="178"/>
      <c r="F334" s="94">
        <f>'Таблица №10'!G335</f>
        <v>250.28478</v>
      </c>
      <c r="G334" s="94">
        <f>'Таблица №10'!H335</f>
        <v>250.28478</v>
      </c>
      <c r="H334" s="163">
        <f t="shared" si="5"/>
        <v>100</v>
      </c>
    </row>
    <row r="335" spans="1:8" ht="24" outlineLevel="5">
      <c r="A335" s="78" t="str">
        <f>'Таблица №10'!A336</f>
        <v>Обслуживание государственного (муниципального) внутреннего долга </v>
      </c>
      <c r="B335" s="178" t="str">
        <f>'Таблица №10'!C336</f>
        <v>1301</v>
      </c>
      <c r="C335" s="178"/>
      <c r="D335" s="178"/>
      <c r="E335" s="178"/>
      <c r="F335" s="94">
        <f>'Таблица №10'!G336</f>
        <v>250.28478</v>
      </c>
      <c r="G335" s="94">
        <f>'Таблица №10'!H336</f>
        <v>250.28478</v>
      </c>
      <c r="H335" s="163">
        <f t="shared" si="5"/>
        <v>100</v>
      </c>
    </row>
    <row r="336" spans="1:8" ht="24" outlineLevel="5">
      <c r="A336" s="78" t="str">
        <f>'Таблица №10'!A337</f>
        <v>Непрограммные расходы органов местного самоуправления Алексеевского муниципального района</v>
      </c>
      <c r="B336" s="178" t="str">
        <f>'Таблица №10'!C337</f>
        <v>1301</v>
      </c>
      <c r="C336" s="178" t="str">
        <f>'Таблица №10'!D337</f>
        <v>99</v>
      </c>
      <c r="D336" s="178">
        <f>'Таблица №10'!E337</f>
        <v>0</v>
      </c>
      <c r="E336" s="178"/>
      <c r="F336" s="94">
        <f>'Таблица №10'!G337</f>
        <v>250.28478</v>
      </c>
      <c r="G336" s="94">
        <f>'Таблица №10'!H337</f>
        <v>250.28478</v>
      </c>
      <c r="H336" s="163">
        <f t="shared" si="5"/>
        <v>100</v>
      </c>
    </row>
    <row r="337" spans="1:8" ht="12.75" outlineLevel="5">
      <c r="A337" s="78" t="str">
        <f>'Таблица №10'!A338</f>
        <v>Обслуживание государственного (муниципального) долга </v>
      </c>
      <c r="B337" s="178" t="str">
        <f>'Таблица №10'!C338</f>
        <v>1301</v>
      </c>
      <c r="C337" s="178" t="str">
        <f>'Таблица №10'!D338</f>
        <v>99</v>
      </c>
      <c r="D337" s="178">
        <f>'Таблица №10'!E338</f>
        <v>0</v>
      </c>
      <c r="E337" s="178">
        <f>'Таблица №10'!F338</f>
        <v>700</v>
      </c>
      <c r="F337" s="94">
        <f>'Таблица №10'!G338</f>
        <v>250.28478</v>
      </c>
      <c r="G337" s="94">
        <f>'Таблица №10'!H338</f>
        <v>250.28478</v>
      </c>
      <c r="H337" s="163">
        <f t="shared" si="5"/>
        <v>100</v>
      </c>
    </row>
    <row r="338" spans="1:8" ht="30.75" customHeight="1" outlineLevel="5">
      <c r="A338" s="78" t="str">
        <f>'Таблица №10'!A339</f>
        <v>Межбюджетные трансферты общего характера бюджетам бюджетной системы Российской Федерации</v>
      </c>
      <c r="B338" s="178" t="str">
        <f>'Таблица №10'!C339</f>
        <v>1400</v>
      </c>
      <c r="C338" s="178"/>
      <c r="D338" s="178"/>
      <c r="E338" s="178"/>
      <c r="F338" s="94">
        <f>'Таблица №10'!G339</f>
        <v>17843.5</v>
      </c>
      <c r="G338" s="94">
        <f>'Таблица №10'!H339</f>
        <v>17843.5</v>
      </c>
      <c r="H338" s="163">
        <f t="shared" si="5"/>
        <v>100</v>
      </c>
    </row>
    <row r="339" spans="1:8" ht="18.75" customHeight="1" outlineLevel="5">
      <c r="A339" s="78" t="str">
        <f>'Таблица №10'!A340</f>
        <v>Прочие межбюджетные трансферты общего характера</v>
      </c>
      <c r="B339" s="178" t="str">
        <f>'Таблица №10'!C340</f>
        <v>1403</v>
      </c>
      <c r="C339" s="178"/>
      <c r="D339" s="178"/>
      <c r="E339" s="178"/>
      <c r="F339" s="94">
        <f>'Таблица №10'!G340</f>
        <v>17843.5</v>
      </c>
      <c r="G339" s="94">
        <f>'Таблица №10'!H340</f>
        <v>17843.5</v>
      </c>
      <c r="H339" s="163">
        <f t="shared" si="5"/>
        <v>100</v>
      </c>
    </row>
    <row r="340" spans="1:8" ht="17.25" customHeight="1" outlineLevel="5">
      <c r="A340" s="78" t="str">
        <f>'Таблица №10'!A341</f>
        <v>Непрограммные расходы органов местного самоуправления Алексеевского муниципального района</v>
      </c>
      <c r="B340" s="178" t="str">
        <f>'Таблица №10'!C341</f>
        <v>1403</v>
      </c>
      <c r="C340" s="178" t="str">
        <f>'Таблица №10'!D341</f>
        <v>99</v>
      </c>
      <c r="D340" s="178">
        <f>'Таблица №10'!E341</f>
        <v>0</v>
      </c>
      <c r="E340" s="178"/>
      <c r="F340" s="94">
        <f>'Таблица №10'!G341</f>
        <v>17843.5</v>
      </c>
      <c r="G340" s="94">
        <f>'Таблица №10'!H341</f>
        <v>17843.5</v>
      </c>
      <c r="H340" s="163">
        <f t="shared" si="5"/>
        <v>100</v>
      </c>
    </row>
    <row r="341" spans="1:8" ht="12.75">
      <c r="A341" s="78" t="str">
        <f>'Таблица №10'!A342</f>
        <v>Межбюджетные трансферты</v>
      </c>
      <c r="B341" s="178" t="str">
        <f>'Таблица №10'!C342</f>
        <v>1403</v>
      </c>
      <c r="C341" s="178" t="str">
        <f>'Таблица №10'!D342</f>
        <v>99</v>
      </c>
      <c r="D341" s="178">
        <f>'Таблица №10'!E342</f>
        <v>0</v>
      </c>
      <c r="E341" s="178">
        <f>'Таблица №10'!F342</f>
        <v>500</v>
      </c>
      <c r="F341" s="94">
        <f>'Таблица №10'!G342</f>
        <v>17843.5</v>
      </c>
      <c r="G341" s="94">
        <f>'Таблица №10'!H342</f>
        <v>17843.5</v>
      </c>
      <c r="H341" s="163">
        <f t="shared" si="5"/>
        <v>100</v>
      </c>
    </row>
    <row r="342" spans="1:8" ht="12.75">
      <c r="A342" s="78" t="str">
        <f>'Таблица №10'!A343</f>
        <v>Всего </v>
      </c>
      <c r="B342" s="178"/>
      <c r="C342" s="178"/>
      <c r="D342" s="178"/>
      <c r="E342" s="178"/>
      <c r="F342" s="94">
        <f>'Таблица №10'!G343</f>
        <v>465297.18943999993</v>
      </c>
      <c r="G342" s="94">
        <f>'Таблица №10'!H343</f>
        <v>457227.15006</v>
      </c>
      <c r="H342" s="163">
        <f t="shared" si="5"/>
        <v>98.26561613455854</v>
      </c>
    </row>
    <row r="343" spans="1:8" ht="12.75">
      <c r="A343" s="2"/>
      <c r="B343" s="2"/>
      <c r="C343" s="2"/>
      <c r="D343" s="2"/>
      <c r="E343" s="2"/>
      <c r="F343" s="42">
        <f>SUM('Таблица №10'!G343)</f>
        <v>465297.18943999993</v>
      </c>
      <c r="G343" s="42">
        <f>SUM('Таблица №10'!H343)</f>
        <v>457227.15006</v>
      </c>
      <c r="H343" s="42">
        <f>SUM('Таблица №10'!I343)</f>
        <v>98.26561613455854</v>
      </c>
    </row>
    <row r="344" spans="1:5" ht="12.75">
      <c r="A344" s="2"/>
      <c r="B344" s="2"/>
      <c r="C344" s="2"/>
      <c r="D344" s="2"/>
      <c r="E344" s="2"/>
    </row>
  </sheetData>
  <sheetProtection/>
  <mergeCells count="6">
    <mergeCell ref="F8:G8"/>
    <mergeCell ref="F1:H1"/>
    <mergeCell ref="B2:H2"/>
    <mergeCell ref="E3:H3"/>
    <mergeCell ref="A4:H4"/>
    <mergeCell ref="A6:H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="110" zoomScaleNormal="110" zoomScalePageLayoutView="0" workbookViewId="0" topLeftCell="A47">
      <selection activeCell="E8" sqref="E8:E60"/>
    </sheetView>
  </sheetViews>
  <sheetFormatPr defaultColWidth="9.140625" defaultRowHeight="12.75"/>
  <cols>
    <col min="1" max="1" width="5.7109375" style="20" customWidth="1"/>
    <col min="2" max="2" width="49.57421875" style="20" customWidth="1"/>
    <col min="3" max="3" width="11.28125" style="20" customWidth="1"/>
    <col min="4" max="4" width="11.8515625" style="20" customWidth="1"/>
    <col min="5" max="5" width="10.8515625" style="20" bestFit="1" customWidth="1"/>
    <col min="6" max="16384" width="9.140625" style="20" customWidth="1"/>
  </cols>
  <sheetData>
    <row r="1" spans="1:5" ht="16.5">
      <c r="A1" s="18" t="s">
        <v>120</v>
      </c>
      <c r="B1" s="19"/>
      <c r="C1" s="306"/>
      <c r="D1" s="306"/>
      <c r="E1" s="306"/>
    </row>
    <row r="2" spans="1:5" ht="16.5">
      <c r="A2" s="18"/>
      <c r="B2" s="19"/>
      <c r="C2" s="306"/>
      <c r="D2" s="306"/>
      <c r="E2" s="306"/>
    </row>
    <row r="3" spans="1:5" ht="16.5">
      <c r="A3" s="18"/>
      <c r="B3" s="19"/>
      <c r="C3" s="306"/>
      <c r="D3" s="306"/>
      <c r="E3" s="306"/>
    </row>
    <row r="4" spans="1:5" ht="16.5">
      <c r="A4" s="18"/>
      <c r="B4" s="19"/>
      <c r="C4" s="306"/>
      <c r="D4" s="306"/>
      <c r="E4" s="306"/>
    </row>
    <row r="5" spans="1:5" ht="41.25" customHeight="1">
      <c r="A5" s="307" t="s">
        <v>385</v>
      </c>
      <c r="B5" s="307"/>
      <c r="C5" s="307"/>
      <c r="D5" s="307"/>
      <c r="E5" s="307"/>
    </row>
    <row r="6" spans="1:5" ht="16.5">
      <c r="A6" s="21" t="s">
        <v>123</v>
      </c>
      <c r="B6" s="19"/>
      <c r="C6" s="305"/>
      <c r="D6" s="305"/>
      <c r="E6" s="198" t="s">
        <v>317</v>
      </c>
    </row>
    <row r="7" spans="1:5" ht="35.25" customHeight="1">
      <c r="A7" s="46" t="s">
        <v>124</v>
      </c>
      <c r="B7" s="46" t="s">
        <v>125</v>
      </c>
      <c r="C7" s="40" t="s">
        <v>297</v>
      </c>
      <c r="D7" s="40" t="s">
        <v>440</v>
      </c>
      <c r="E7" s="40" t="s">
        <v>439</v>
      </c>
    </row>
    <row r="8" spans="1:5" ht="16.5" customHeight="1">
      <c r="A8" s="186" t="s">
        <v>41</v>
      </c>
      <c r="B8" s="187" t="s">
        <v>126</v>
      </c>
      <c r="C8" s="188">
        <f>SUM(C9:C17)</f>
        <v>89253.11015999998</v>
      </c>
      <c r="D8" s="188">
        <f>SUM(D9:D17)</f>
        <v>89253.11015999998</v>
      </c>
      <c r="E8" s="163">
        <f aca="true" t="shared" si="0" ref="E8:E60">SUM(D8/C8)*100</f>
        <v>100</v>
      </c>
    </row>
    <row r="9" spans="1:5" ht="29.25" customHeight="1">
      <c r="A9" s="77" t="s">
        <v>42</v>
      </c>
      <c r="B9" s="75" t="s">
        <v>127</v>
      </c>
      <c r="C9" s="76">
        <f>SUM('Таблица №8'!F11)</f>
        <v>2005.7305999999999</v>
      </c>
      <c r="D9" s="76">
        <f>SUM('Таблица №8'!G11)</f>
        <v>2005.7305999999999</v>
      </c>
      <c r="E9" s="163">
        <f t="shared" si="0"/>
        <v>100</v>
      </c>
    </row>
    <row r="10" spans="1:5" ht="30.75" customHeight="1">
      <c r="A10" s="77" t="s">
        <v>28</v>
      </c>
      <c r="B10" s="75" t="s">
        <v>25</v>
      </c>
      <c r="C10" s="76">
        <f>SUM('Таблица №8'!F14)</f>
        <v>519.38223</v>
      </c>
      <c r="D10" s="76">
        <f>SUM('Таблица №8'!G14)</f>
        <v>519.38223</v>
      </c>
      <c r="E10" s="163">
        <f t="shared" si="0"/>
        <v>100</v>
      </c>
    </row>
    <row r="11" spans="1:5" ht="62.25" customHeight="1">
      <c r="A11" s="77" t="s">
        <v>40</v>
      </c>
      <c r="B11" s="75" t="s">
        <v>34</v>
      </c>
      <c r="C11" s="76">
        <f>SUM('Таблица №8'!F20)</f>
        <v>33759.30369</v>
      </c>
      <c r="D11" s="76">
        <f>SUM('Таблица №8'!G20)</f>
        <v>33759.30369</v>
      </c>
      <c r="E11" s="163">
        <f t="shared" si="0"/>
        <v>100</v>
      </c>
    </row>
    <row r="12" spans="1:5" ht="15" customHeight="1">
      <c r="A12" s="77" t="s">
        <v>43</v>
      </c>
      <c r="B12" s="75" t="s">
        <v>35</v>
      </c>
      <c r="C12" s="76">
        <f>SUM('Таблица №10'!G51)</f>
        <v>62.2</v>
      </c>
      <c r="D12" s="76">
        <f>SUM('Таблица №10'!H51)</f>
        <v>62.2</v>
      </c>
      <c r="E12" s="163">
        <f t="shared" si="0"/>
        <v>100</v>
      </c>
    </row>
    <row r="13" spans="1:5" ht="42.75" customHeight="1">
      <c r="A13" s="77" t="s">
        <v>31</v>
      </c>
      <c r="B13" s="75" t="s">
        <v>128</v>
      </c>
      <c r="C13" s="76">
        <f>SUM('Таблица №8'!F44)</f>
        <v>1611.92499</v>
      </c>
      <c r="D13" s="76">
        <f>SUM('Таблица №8'!G44)</f>
        <v>1611.92499</v>
      </c>
      <c r="E13" s="163">
        <f t="shared" si="0"/>
        <v>100</v>
      </c>
    </row>
    <row r="14" spans="1:5" ht="1.5" customHeight="1" hidden="1">
      <c r="A14" s="77" t="s">
        <v>44</v>
      </c>
      <c r="B14" s="75" t="s">
        <v>36</v>
      </c>
      <c r="C14" s="76">
        <f>SUM('Таблица №8'!F51)</f>
        <v>0</v>
      </c>
      <c r="D14" s="76">
        <f>SUM('Таблица №8'!G51)</f>
        <v>0</v>
      </c>
      <c r="E14" s="163" t="e">
        <f t="shared" si="0"/>
        <v>#DIV/0!</v>
      </c>
    </row>
    <row r="15" spans="1:5" ht="16.5" customHeight="1">
      <c r="A15" s="77" t="s">
        <v>45</v>
      </c>
      <c r="B15" s="75" t="s">
        <v>129</v>
      </c>
      <c r="C15" s="76">
        <f>SUM('Таблица №8'!F55)</f>
        <v>0</v>
      </c>
      <c r="D15" s="76">
        <f>SUM('Таблица №8'!G55)</f>
        <v>0</v>
      </c>
      <c r="E15" s="163" t="e">
        <f t="shared" si="0"/>
        <v>#DIV/0!</v>
      </c>
    </row>
    <row r="16" spans="1:5" ht="16.5" customHeight="1">
      <c r="A16" s="77" t="s">
        <v>29</v>
      </c>
      <c r="B16" s="75" t="s">
        <v>46</v>
      </c>
      <c r="C16" s="76">
        <f>SUM('Таблица №8'!F57)-C17</f>
        <v>51294.56864999999</v>
      </c>
      <c r="D16" s="76">
        <f>SUM('Таблица №8'!G57)-D17</f>
        <v>51294.56864999999</v>
      </c>
      <c r="E16" s="163">
        <f t="shared" si="0"/>
        <v>100</v>
      </c>
    </row>
    <row r="17" spans="1:5" ht="16.5" customHeight="1">
      <c r="A17" s="77" t="s">
        <v>29</v>
      </c>
      <c r="B17" s="75" t="s">
        <v>47</v>
      </c>
      <c r="C17" s="76">
        <f>SUM('Таблица №8'!F92)</f>
        <v>0</v>
      </c>
      <c r="D17" s="76">
        <f>SUM('Таблица №8'!G92)</f>
        <v>0</v>
      </c>
      <c r="E17" s="163" t="e">
        <f t="shared" si="0"/>
        <v>#DIV/0!</v>
      </c>
    </row>
    <row r="18" spans="1:5" ht="16.5" customHeight="1">
      <c r="A18" s="186" t="s">
        <v>111</v>
      </c>
      <c r="B18" s="187" t="s">
        <v>130</v>
      </c>
      <c r="C18" s="188">
        <f>SUM(C19)</f>
        <v>2.9130000000000003</v>
      </c>
      <c r="D18" s="188">
        <f>SUM(D19)</f>
        <v>2.9130000000000003</v>
      </c>
      <c r="E18" s="163">
        <f t="shared" si="0"/>
        <v>100</v>
      </c>
    </row>
    <row r="19" spans="1:5" ht="16.5" customHeight="1">
      <c r="A19" s="77" t="s">
        <v>50</v>
      </c>
      <c r="B19" s="75" t="s">
        <v>49</v>
      </c>
      <c r="C19" s="76">
        <f>SUM('Таблица №8'!F93)</f>
        <v>2.9130000000000003</v>
      </c>
      <c r="D19" s="76">
        <f>SUM('Таблица №8'!G93)</f>
        <v>2.9130000000000003</v>
      </c>
      <c r="E19" s="163">
        <f t="shared" si="0"/>
        <v>100</v>
      </c>
    </row>
    <row r="20" spans="1:5" ht="27.75" customHeight="1">
      <c r="A20" s="186" t="s">
        <v>112</v>
      </c>
      <c r="B20" s="187" t="s">
        <v>116</v>
      </c>
      <c r="C20" s="188">
        <f>SUM(C21:C22)</f>
        <v>50</v>
      </c>
      <c r="D20" s="188">
        <f>SUM(D21:D22)</f>
        <v>50</v>
      </c>
      <c r="E20" s="163">
        <f t="shared" si="0"/>
        <v>100</v>
      </c>
    </row>
    <row r="21" spans="1:5" ht="16.5" customHeight="1">
      <c r="A21" s="77" t="s">
        <v>51</v>
      </c>
      <c r="B21" s="75" t="s">
        <v>343</v>
      </c>
      <c r="C21" s="76">
        <f>SUM('Таблица №8'!F99)</f>
        <v>0</v>
      </c>
      <c r="D21" s="76">
        <f>SUM('Таблица №8'!G99)</f>
        <v>0</v>
      </c>
      <c r="E21" s="163" t="e">
        <f t="shared" si="0"/>
        <v>#DIV/0!</v>
      </c>
    </row>
    <row r="22" spans="1:5" ht="42.75" customHeight="1">
      <c r="A22" s="77" t="s">
        <v>342</v>
      </c>
      <c r="B22" s="75" t="s">
        <v>341</v>
      </c>
      <c r="C22" s="76">
        <f>SUM('Таблица №8'!F102)</f>
        <v>50</v>
      </c>
      <c r="D22" s="76">
        <f>SUM('Таблица №8'!G102)</f>
        <v>50</v>
      </c>
      <c r="E22" s="163">
        <f t="shared" si="0"/>
        <v>100</v>
      </c>
    </row>
    <row r="23" spans="1:5" ht="15.75" customHeight="1">
      <c r="A23" s="186" t="s">
        <v>59</v>
      </c>
      <c r="B23" s="187" t="s">
        <v>117</v>
      </c>
      <c r="C23" s="188">
        <f>SUM(C24:C26)</f>
        <v>38493.35679</v>
      </c>
      <c r="D23" s="188">
        <f>SUM(D24:D26)</f>
        <v>35928.34404</v>
      </c>
      <c r="E23" s="163">
        <f t="shared" si="0"/>
        <v>93.33647942424615</v>
      </c>
    </row>
    <row r="24" spans="1:5" ht="15.75" customHeight="1">
      <c r="A24" s="77" t="s">
        <v>144</v>
      </c>
      <c r="B24" s="75" t="s">
        <v>143</v>
      </c>
      <c r="C24" s="76">
        <f>SUM('Таблица №8'!F109)</f>
        <v>143.5</v>
      </c>
      <c r="D24" s="76">
        <f>SUM('Таблица №8'!G109)</f>
        <v>143.5</v>
      </c>
      <c r="E24" s="163">
        <f t="shared" si="0"/>
        <v>100</v>
      </c>
    </row>
    <row r="25" spans="1:5" ht="15.75" customHeight="1">
      <c r="A25" s="77" t="s">
        <v>52</v>
      </c>
      <c r="B25" s="75" t="s">
        <v>118</v>
      </c>
      <c r="C25" s="76">
        <f>SUM('Таблица №8'!F113)</f>
        <v>29618.750979999997</v>
      </c>
      <c r="D25" s="76">
        <f>SUM('Таблица №8'!G113)</f>
        <v>27053.738230000003</v>
      </c>
      <c r="E25" s="163">
        <f t="shared" si="0"/>
        <v>91.33990237558628</v>
      </c>
    </row>
    <row r="26" spans="1:5" ht="15.75" customHeight="1">
      <c r="A26" s="77" t="s">
        <v>53</v>
      </c>
      <c r="B26" s="75" t="s">
        <v>119</v>
      </c>
      <c r="C26" s="76">
        <f>SUM('Таблица №8'!F121)</f>
        <v>8731.105810000001</v>
      </c>
      <c r="D26" s="76">
        <f>SUM('Таблица №8'!G121)</f>
        <v>8731.105810000001</v>
      </c>
      <c r="E26" s="163">
        <f t="shared" si="0"/>
        <v>100</v>
      </c>
    </row>
    <row r="27" spans="1:5" ht="15.75" customHeight="1">
      <c r="A27" s="186" t="s">
        <v>56</v>
      </c>
      <c r="B27" s="187" t="s">
        <v>131</v>
      </c>
      <c r="C27" s="188">
        <f>SUM(C28:C29)</f>
        <v>16757.505289999997</v>
      </c>
      <c r="D27" s="188">
        <f>SUM(D28:D29)</f>
        <v>16457.505289999997</v>
      </c>
      <c r="E27" s="163">
        <f t="shared" si="0"/>
        <v>98.20975739044508</v>
      </c>
    </row>
    <row r="28" spans="1:5" ht="14.25" customHeight="1">
      <c r="A28" s="77" t="s">
        <v>57</v>
      </c>
      <c r="B28" s="75" t="s">
        <v>54</v>
      </c>
      <c r="C28" s="76">
        <f>SUM('Таблица №8'!F133)</f>
        <v>9712.118289999999</v>
      </c>
      <c r="D28" s="76">
        <f>SUM('Таблица №8'!G133)</f>
        <v>9412.118289999999</v>
      </c>
      <c r="E28" s="163">
        <f t="shared" si="0"/>
        <v>96.9110755136818</v>
      </c>
    </row>
    <row r="29" spans="1:5" ht="15">
      <c r="A29" s="77" t="s">
        <v>132</v>
      </c>
      <c r="B29" s="75" t="s">
        <v>133</v>
      </c>
      <c r="C29" s="76">
        <f>SUM('Таблица №8'!F146)</f>
        <v>7045.387</v>
      </c>
      <c r="D29" s="76">
        <f>SUM('Таблица №8'!G146)</f>
        <v>7045.387</v>
      </c>
      <c r="E29" s="163">
        <f t="shared" si="0"/>
        <v>100</v>
      </c>
    </row>
    <row r="30" spans="1:5" ht="15.75" customHeight="1">
      <c r="A30" s="186" t="s">
        <v>113</v>
      </c>
      <c r="B30" s="187" t="s">
        <v>58</v>
      </c>
      <c r="C30" s="188">
        <f>SUM(C31)</f>
        <v>0</v>
      </c>
      <c r="D30" s="188">
        <f>SUM(D31)</f>
        <v>0</v>
      </c>
      <c r="E30" s="163" t="e">
        <f t="shared" si="0"/>
        <v>#DIV/0!</v>
      </c>
    </row>
    <row r="31" spans="1:5" ht="15.75" customHeight="1">
      <c r="A31" s="77" t="s">
        <v>60</v>
      </c>
      <c r="B31" s="75" t="s">
        <v>390</v>
      </c>
      <c r="C31" s="76">
        <f>SUM('Таблица №8'!F152)</f>
        <v>0</v>
      </c>
      <c r="D31" s="76">
        <f>SUM('Таблица №8'!G152)</f>
        <v>0</v>
      </c>
      <c r="E31" s="163" t="e">
        <f t="shared" si="0"/>
        <v>#DIV/0!</v>
      </c>
    </row>
    <row r="32" spans="1:5" ht="18" customHeight="1">
      <c r="A32" s="186" t="s">
        <v>64</v>
      </c>
      <c r="B32" s="187" t="s">
        <v>61</v>
      </c>
      <c r="C32" s="188">
        <f>SUM(C33:C37)</f>
        <v>259571.69220999995</v>
      </c>
      <c r="D32" s="188">
        <f>SUM(D33:D37)</f>
        <v>255937.17505</v>
      </c>
      <c r="E32" s="163">
        <f t="shared" si="0"/>
        <v>98.59980218603363</v>
      </c>
    </row>
    <row r="33" spans="1:5" ht="18" customHeight="1">
      <c r="A33" s="77" t="s">
        <v>63</v>
      </c>
      <c r="B33" s="75" t="s">
        <v>62</v>
      </c>
      <c r="C33" s="76">
        <f>SUM('Таблица №8'!F157)</f>
        <v>37562.003119999994</v>
      </c>
      <c r="D33" s="76">
        <f>SUM('Таблица №8'!G157)</f>
        <v>36261.78992</v>
      </c>
      <c r="E33" s="163">
        <f t="shared" si="0"/>
        <v>96.53848812097114</v>
      </c>
    </row>
    <row r="34" spans="1:5" ht="18" customHeight="1">
      <c r="A34" s="77" t="s">
        <v>65</v>
      </c>
      <c r="B34" s="75" t="s">
        <v>70</v>
      </c>
      <c r="C34" s="76">
        <f>SUM('Таблица №8'!F182)</f>
        <v>202197.42305999997</v>
      </c>
      <c r="D34" s="76">
        <f>SUM('Таблица №8'!G182)</f>
        <v>199863.11909999998</v>
      </c>
      <c r="E34" s="163">
        <f t="shared" si="0"/>
        <v>98.84553228984164</v>
      </c>
    </row>
    <row r="35" spans="1:5" ht="18" customHeight="1">
      <c r="A35" s="77" t="s">
        <v>228</v>
      </c>
      <c r="B35" s="75" t="s">
        <v>227</v>
      </c>
      <c r="C35" s="76">
        <f>SUM('Таблица №8'!F221)</f>
        <v>10277.70144</v>
      </c>
      <c r="D35" s="76">
        <f>SUM('Таблица №8'!G221)</f>
        <v>10277.70144</v>
      </c>
      <c r="E35" s="163">
        <f t="shared" si="0"/>
        <v>100</v>
      </c>
    </row>
    <row r="36" spans="1:5" ht="18" customHeight="1">
      <c r="A36" s="77" t="s">
        <v>71</v>
      </c>
      <c r="B36" s="75" t="s">
        <v>344</v>
      </c>
      <c r="C36" s="76">
        <f>SUM('Таблица №8'!F229)</f>
        <v>6832.51025</v>
      </c>
      <c r="D36" s="76">
        <f>SUM('Таблица №8'!G229)</f>
        <v>6832.51025</v>
      </c>
      <c r="E36" s="163">
        <f t="shared" si="0"/>
        <v>100</v>
      </c>
    </row>
    <row r="37" spans="1:5" ht="18" customHeight="1">
      <c r="A37" s="77" t="s">
        <v>73</v>
      </c>
      <c r="B37" s="75" t="s">
        <v>72</v>
      </c>
      <c r="C37" s="76">
        <f>SUM('Таблица №8'!F245)</f>
        <v>2702.05434</v>
      </c>
      <c r="D37" s="76">
        <f>SUM('Таблица №8'!G245)</f>
        <v>2702.05434</v>
      </c>
      <c r="E37" s="163">
        <f t="shared" si="0"/>
        <v>100</v>
      </c>
    </row>
    <row r="38" spans="1:5" ht="18" customHeight="1">
      <c r="A38" s="186" t="s">
        <v>114</v>
      </c>
      <c r="B38" s="187" t="s">
        <v>134</v>
      </c>
      <c r="C38" s="188">
        <f>SUM(C39:C41)</f>
        <v>13206.57914</v>
      </c>
      <c r="D38" s="188">
        <f>SUM(D39:D41)</f>
        <v>13206.57914</v>
      </c>
      <c r="E38" s="163">
        <f t="shared" si="0"/>
        <v>100</v>
      </c>
    </row>
    <row r="39" spans="1:5" ht="18" customHeight="1">
      <c r="A39" s="77" t="s">
        <v>80</v>
      </c>
      <c r="B39" s="75" t="s">
        <v>115</v>
      </c>
      <c r="C39" s="76">
        <f>SUM('Таблица №8'!F255)</f>
        <v>12438.53084</v>
      </c>
      <c r="D39" s="76">
        <f>SUM('Таблица №8'!G255)</f>
        <v>12438.53084</v>
      </c>
      <c r="E39" s="163">
        <f t="shared" si="0"/>
        <v>100</v>
      </c>
    </row>
    <row r="40" spans="1:5" ht="15.75" customHeight="1">
      <c r="A40" s="77" t="s">
        <v>81</v>
      </c>
      <c r="B40" s="75" t="s">
        <v>78</v>
      </c>
      <c r="C40" s="76">
        <f>SUM('Таблица №8'!F272)</f>
        <v>768.0483</v>
      </c>
      <c r="D40" s="76">
        <f>SUM('Таблица №8'!G272)</f>
        <v>768.0483</v>
      </c>
      <c r="E40" s="163">
        <f t="shared" si="0"/>
        <v>100</v>
      </c>
    </row>
    <row r="41" spans="1:5" ht="20.25" customHeight="1" hidden="1">
      <c r="A41" s="77" t="s">
        <v>82</v>
      </c>
      <c r="B41" s="75" t="s">
        <v>79</v>
      </c>
      <c r="C41" s="76">
        <f>SUM('Таблица №8'!F274)</f>
        <v>0</v>
      </c>
      <c r="D41" s="76">
        <f>SUM('Таблица №8'!G274)</f>
        <v>0</v>
      </c>
      <c r="E41" s="163" t="e">
        <f t="shared" si="0"/>
        <v>#DIV/0!</v>
      </c>
    </row>
    <row r="42" spans="1:5" ht="18" customHeight="1" hidden="1">
      <c r="A42" s="186" t="s">
        <v>231</v>
      </c>
      <c r="B42" s="187" t="s">
        <v>230</v>
      </c>
      <c r="C42" s="188">
        <f>SUM(C43)</f>
        <v>0</v>
      </c>
      <c r="D42" s="188">
        <f>SUM(D43)</f>
        <v>0</v>
      </c>
      <c r="E42" s="163" t="e">
        <f t="shared" si="0"/>
        <v>#DIV/0!</v>
      </c>
    </row>
    <row r="43" spans="1:5" ht="0.75" customHeight="1" hidden="1">
      <c r="A43" s="77" t="s">
        <v>233</v>
      </c>
      <c r="B43" s="75" t="s">
        <v>232</v>
      </c>
      <c r="C43" s="76">
        <f>SUM('Таблица №8'!F279)</f>
        <v>0</v>
      </c>
      <c r="D43" s="76">
        <f>SUM('Таблица №8'!G279)</f>
        <v>0</v>
      </c>
      <c r="E43" s="163" t="e">
        <f t="shared" si="0"/>
        <v>#DIV/0!</v>
      </c>
    </row>
    <row r="44" spans="1:5" ht="18" customHeight="1">
      <c r="A44" s="186">
        <v>1000</v>
      </c>
      <c r="B44" s="187" t="s">
        <v>83</v>
      </c>
      <c r="C44" s="188">
        <f>SUM(C45:C48)</f>
        <v>27035.34807</v>
      </c>
      <c r="D44" s="188">
        <f>SUM(D45:D48)</f>
        <v>25464.838600000003</v>
      </c>
      <c r="E44" s="163">
        <f t="shared" si="0"/>
        <v>94.1909034574527</v>
      </c>
    </row>
    <row r="45" spans="1:5" ht="18" customHeight="1">
      <c r="A45" s="77">
        <v>1001</v>
      </c>
      <c r="B45" s="75" t="s">
        <v>84</v>
      </c>
      <c r="C45" s="76">
        <f>SUM('Таблица №8'!F284)</f>
        <v>4310.14951</v>
      </c>
      <c r="D45" s="76">
        <f>SUM('Таблица №8'!G284)</f>
        <v>4310.14951</v>
      </c>
      <c r="E45" s="163">
        <f t="shared" si="0"/>
        <v>100</v>
      </c>
    </row>
    <row r="46" spans="1:5" ht="18" customHeight="1">
      <c r="A46" s="77">
        <v>1003</v>
      </c>
      <c r="B46" s="75" t="s">
        <v>87</v>
      </c>
      <c r="C46" s="76">
        <f>SUM('Таблица №8'!F287)</f>
        <v>14638.132000000001</v>
      </c>
      <c r="D46" s="76">
        <f>SUM('Таблица №8'!G287)</f>
        <v>13243.794090000001</v>
      </c>
      <c r="E46" s="163">
        <f t="shared" si="0"/>
        <v>90.47461855105556</v>
      </c>
    </row>
    <row r="47" spans="1:5" ht="18" customHeight="1">
      <c r="A47" s="77">
        <v>1004</v>
      </c>
      <c r="B47" s="75" t="s">
        <v>88</v>
      </c>
      <c r="C47" s="76">
        <f>SUM('Таблица №8'!F300)</f>
        <v>7087.671559999999</v>
      </c>
      <c r="D47" s="76">
        <f>SUM('Таблица №8'!G300)</f>
        <v>6911.5</v>
      </c>
      <c r="E47" s="163">
        <f t="shared" si="0"/>
        <v>97.5143944170009</v>
      </c>
    </row>
    <row r="48" spans="1:5" ht="18" customHeight="1">
      <c r="A48" s="77" t="s">
        <v>246</v>
      </c>
      <c r="B48" s="75" t="s">
        <v>247</v>
      </c>
      <c r="C48" s="76">
        <f>SUM('Таблица №8'!F312)</f>
        <v>999.395</v>
      </c>
      <c r="D48" s="76">
        <f>SUM('Таблица №8'!G312)</f>
        <v>999.395</v>
      </c>
      <c r="E48" s="163">
        <f t="shared" si="0"/>
        <v>100</v>
      </c>
    </row>
    <row r="49" spans="1:5" ht="17.25" customHeight="1">
      <c r="A49" s="186" t="s">
        <v>135</v>
      </c>
      <c r="B49" s="187" t="s">
        <v>91</v>
      </c>
      <c r="C49" s="188">
        <f>SUM(C50:C52)</f>
        <v>400</v>
      </c>
      <c r="D49" s="188">
        <f>SUM(D50:D52)</f>
        <v>400</v>
      </c>
      <c r="E49" s="163">
        <f t="shared" si="0"/>
        <v>100</v>
      </c>
    </row>
    <row r="50" spans="1:5" ht="18" customHeight="1" hidden="1">
      <c r="A50" s="77" t="s">
        <v>234</v>
      </c>
      <c r="B50" s="75" t="s">
        <v>307</v>
      </c>
      <c r="C50" s="76">
        <f>SUM('Таблица №10'!G319)</f>
        <v>0</v>
      </c>
      <c r="D50" s="76">
        <f>SUM('Таблица №10'!H319)</f>
        <v>0</v>
      </c>
      <c r="E50" s="163" t="e">
        <f t="shared" si="0"/>
        <v>#DIV/0!</v>
      </c>
    </row>
    <row r="51" spans="1:5" ht="15" hidden="1">
      <c r="A51" s="77" t="s">
        <v>299</v>
      </c>
      <c r="B51" s="75" t="s">
        <v>300</v>
      </c>
      <c r="C51" s="76">
        <f>SUM('Таблица №10'!G323)</f>
        <v>0</v>
      </c>
      <c r="D51" s="76">
        <f>SUM('Таблица №10'!H323)</f>
        <v>0</v>
      </c>
      <c r="E51" s="163" t="e">
        <f t="shared" si="0"/>
        <v>#DIV/0!</v>
      </c>
    </row>
    <row r="52" spans="1:5" ht="26.25" customHeight="1">
      <c r="A52" s="77" t="s">
        <v>92</v>
      </c>
      <c r="B52" s="75" t="s">
        <v>235</v>
      </c>
      <c r="C52" s="76">
        <f>SUM('Таблица №8'!F326)</f>
        <v>400</v>
      </c>
      <c r="D52" s="76">
        <f>SUM('Таблица №8'!G326)</f>
        <v>400</v>
      </c>
      <c r="E52" s="163">
        <f t="shared" si="0"/>
        <v>100</v>
      </c>
    </row>
    <row r="53" spans="1:5" ht="18" customHeight="1">
      <c r="A53" s="186" t="s">
        <v>136</v>
      </c>
      <c r="B53" s="187" t="s">
        <v>93</v>
      </c>
      <c r="C53" s="188">
        <f>SUM(C54:C55)</f>
        <v>2432.9</v>
      </c>
      <c r="D53" s="188">
        <f>SUM(D54:D55)</f>
        <v>2432.9</v>
      </c>
      <c r="E53" s="163">
        <f t="shared" si="0"/>
        <v>100</v>
      </c>
    </row>
    <row r="54" spans="1:5" ht="18" customHeight="1" hidden="1">
      <c r="A54" s="77" t="s">
        <v>214</v>
      </c>
      <c r="B54" s="75" t="s">
        <v>213</v>
      </c>
      <c r="C54" s="76">
        <v>0</v>
      </c>
      <c r="D54" s="76">
        <v>0</v>
      </c>
      <c r="E54" s="163" t="e">
        <f t="shared" si="0"/>
        <v>#DIV/0!</v>
      </c>
    </row>
    <row r="55" spans="1:5" ht="18" customHeight="1">
      <c r="A55" s="77" t="s">
        <v>95</v>
      </c>
      <c r="B55" s="75" t="s">
        <v>94</v>
      </c>
      <c r="C55" s="76">
        <f>SUM('Таблица №10'!G331)</f>
        <v>2432.9</v>
      </c>
      <c r="D55" s="76">
        <f>SUM('Таблица №10'!H331)</f>
        <v>2432.9</v>
      </c>
      <c r="E55" s="163">
        <f t="shared" si="0"/>
        <v>100</v>
      </c>
    </row>
    <row r="56" spans="1:5" ht="29.25" customHeight="1">
      <c r="A56" s="186" t="s">
        <v>137</v>
      </c>
      <c r="B56" s="187" t="s">
        <v>318</v>
      </c>
      <c r="C56" s="188">
        <f>SUM(C57:C57)</f>
        <v>250.28478</v>
      </c>
      <c r="D56" s="188">
        <f>SUM(D57:D57)</f>
        <v>250.28478</v>
      </c>
      <c r="E56" s="163">
        <f t="shared" si="0"/>
        <v>100</v>
      </c>
    </row>
    <row r="57" spans="1:5" ht="30">
      <c r="A57" s="186" t="s">
        <v>96</v>
      </c>
      <c r="B57" s="75" t="s">
        <v>391</v>
      </c>
      <c r="C57" s="76">
        <f>SUM('Таблица №8'!F334)</f>
        <v>250.28478</v>
      </c>
      <c r="D57" s="76">
        <f>SUM('Таблица №8'!G334)</f>
        <v>250.28478</v>
      </c>
      <c r="E57" s="163">
        <f t="shared" si="0"/>
        <v>100</v>
      </c>
    </row>
    <row r="58" spans="1:5" ht="43.5" customHeight="1">
      <c r="A58" s="186" t="s">
        <v>185</v>
      </c>
      <c r="B58" s="187" t="s">
        <v>184</v>
      </c>
      <c r="C58" s="188">
        <f>SUM(C59:C59)</f>
        <v>17843.5</v>
      </c>
      <c r="D58" s="188">
        <f>SUM(D59:D59)</f>
        <v>17843.5</v>
      </c>
      <c r="E58" s="163">
        <f t="shared" si="0"/>
        <v>100</v>
      </c>
    </row>
    <row r="59" spans="1:5" ht="22.5" customHeight="1">
      <c r="A59" s="77" t="s">
        <v>187</v>
      </c>
      <c r="B59" s="75" t="s">
        <v>186</v>
      </c>
      <c r="C59" s="76">
        <f>SUM('Таблица №10'!G341)</f>
        <v>17843.5</v>
      </c>
      <c r="D59" s="76">
        <f>SUM('Таблица №10'!H341)</f>
        <v>17843.5</v>
      </c>
      <c r="E59" s="163">
        <f t="shared" si="0"/>
        <v>100</v>
      </c>
    </row>
    <row r="60" spans="1:5" ht="21" customHeight="1">
      <c r="A60" s="189"/>
      <c r="B60" s="190" t="s">
        <v>138</v>
      </c>
      <c r="C60" s="188">
        <f>C8+C18+C20+C23+C27+C30+C32+C38+C44+C49+C53+C56+C58+C42</f>
        <v>465297.18943999993</v>
      </c>
      <c r="D60" s="188">
        <f>D8+D18+D20+D23+D27+D30+D32+D38+D44+D49+D53+D56+D58+D42</f>
        <v>457227.15005999996</v>
      </c>
      <c r="E60" s="163">
        <f t="shared" si="0"/>
        <v>98.26561613455853</v>
      </c>
    </row>
    <row r="61" spans="3:5" ht="15">
      <c r="C61" s="92">
        <f>SUM('Таблица №10'!G343)</f>
        <v>465297.18943999993</v>
      </c>
      <c r="D61" s="92">
        <f>SUM('Таблица №10'!H343)</f>
        <v>457227.15006</v>
      </c>
      <c r="E61" s="92">
        <f>SUM('Таблица №10'!I343)</f>
        <v>98.26561613455854</v>
      </c>
    </row>
  </sheetData>
  <sheetProtection/>
  <mergeCells count="6">
    <mergeCell ref="C6:D6"/>
    <mergeCell ref="C1:E1"/>
    <mergeCell ref="C2:E2"/>
    <mergeCell ref="C3:E3"/>
    <mergeCell ref="C4:E4"/>
    <mergeCell ref="A5:E5"/>
  </mergeCells>
  <printOptions/>
  <pageMargins left="0.5118110236220472" right="0" top="0.7480314960629921" bottom="0.15748031496062992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1"/>
  <sheetViews>
    <sheetView showGridLines="0" tabSelected="1" view="pageBreakPreview" zoomScaleSheetLayoutView="100" zoomScalePageLayoutView="0" workbookViewId="0" topLeftCell="A1">
      <pane ySplit="7" topLeftCell="A30" activePane="bottomLeft" state="frozen"/>
      <selection pane="topLeft" activeCell="A1" sqref="A1"/>
      <selection pane="bottomLeft" activeCell="F31" sqref="F31"/>
    </sheetView>
  </sheetViews>
  <sheetFormatPr defaultColWidth="9.140625" defaultRowHeight="12.75" outlineLevelRow="5"/>
  <cols>
    <col min="1" max="1" width="46.421875" style="7" customWidth="1"/>
    <col min="2" max="2" width="5.421875" style="12" customWidth="1"/>
    <col min="3" max="3" width="4.7109375" style="13" customWidth="1"/>
    <col min="4" max="4" width="7.00390625" style="11" customWidth="1"/>
    <col min="5" max="5" width="12.00390625" style="2" customWidth="1"/>
    <col min="6" max="6" width="11.57421875" style="2" customWidth="1"/>
    <col min="7" max="7" width="12.140625" style="2" customWidth="1"/>
    <col min="8" max="16384" width="9.140625" style="2" customWidth="1"/>
  </cols>
  <sheetData>
    <row r="1" spans="3:7" ht="18.75" customHeight="1">
      <c r="C1" s="306" t="s">
        <v>442</v>
      </c>
      <c r="D1" s="306"/>
      <c r="E1" s="306"/>
      <c r="F1" s="306"/>
      <c r="G1" s="306"/>
    </row>
    <row r="2" spans="3:7" ht="18.75" customHeight="1">
      <c r="C2" s="306" t="s">
        <v>441</v>
      </c>
      <c r="D2" s="306"/>
      <c r="E2" s="306"/>
      <c r="F2" s="306"/>
      <c r="G2" s="306"/>
    </row>
    <row r="3" spans="1:7" ht="21.75" customHeight="1">
      <c r="A3" s="8"/>
      <c r="B3" s="1"/>
      <c r="C3" s="306" t="s">
        <v>444</v>
      </c>
      <c r="D3" s="306"/>
      <c r="E3" s="306"/>
      <c r="F3" s="306"/>
      <c r="G3" s="306"/>
    </row>
    <row r="4" spans="1:7" ht="69.75" customHeight="1">
      <c r="A4" s="304" t="s">
        <v>443</v>
      </c>
      <c r="B4" s="304"/>
      <c r="C4" s="304"/>
      <c r="D4" s="304"/>
      <c r="E4" s="304"/>
      <c r="F4" s="304"/>
      <c r="G4" s="304"/>
    </row>
    <row r="5" spans="1:7" ht="12.75" hidden="1">
      <c r="A5" s="36"/>
      <c r="B5" s="37"/>
      <c r="C5" s="38"/>
      <c r="D5" s="39"/>
      <c r="E5" s="16"/>
      <c r="F5" s="16"/>
      <c r="G5" s="16"/>
    </row>
    <row r="6" spans="1:7" ht="12.75" customHeight="1">
      <c r="A6" s="36"/>
      <c r="B6" s="37"/>
      <c r="C6" s="38"/>
      <c r="D6" s="39"/>
      <c r="E6" s="308"/>
      <c r="F6" s="308"/>
      <c r="G6" s="197" t="s">
        <v>317</v>
      </c>
    </row>
    <row r="7" spans="1:7" ht="72.75" customHeight="1">
      <c r="A7" s="83" t="s">
        <v>1</v>
      </c>
      <c r="B7" s="271" t="s">
        <v>192</v>
      </c>
      <c r="C7" s="272" t="s">
        <v>8</v>
      </c>
      <c r="D7" s="273" t="s">
        <v>191</v>
      </c>
      <c r="E7" s="40" t="s">
        <v>297</v>
      </c>
      <c r="F7" s="40" t="s">
        <v>440</v>
      </c>
      <c r="G7" s="40" t="s">
        <v>439</v>
      </c>
    </row>
    <row r="8" spans="1:7" ht="39" customHeight="1" outlineLevel="2">
      <c r="A8" s="84" t="str">
        <f>'Таблица №10'!A49</f>
        <v>Муниципальная программа "Развитие муниципальной службы в администрации Алексеевского муниципального района Волгоградской области на 2019-2023 годы"</v>
      </c>
      <c r="B8" s="164" t="str">
        <f>'Таблица №10'!D49</f>
        <v>01</v>
      </c>
      <c r="C8" s="164">
        <f>'Таблица №10'!E49</f>
        <v>0</v>
      </c>
      <c r="D8" s="164" t="s">
        <v>193</v>
      </c>
      <c r="E8" s="165">
        <f>SUM('Таблица №10'!G49)</f>
        <v>30.491</v>
      </c>
      <c r="F8" s="165">
        <f>SUM('Таблица №10'!H49)</f>
        <v>30.491</v>
      </c>
      <c r="G8" s="165">
        <f aca="true" t="shared" si="0" ref="G8:G71">SUM(F8/E8)*100</f>
        <v>100</v>
      </c>
    </row>
    <row r="9" spans="1:7" ht="17.25" customHeight="1" outlineLevel="2">
      <c r="A9" s="85" t="s">
        <v>199</v>
      </c>
      <c r="B9" s="44" t="s">
        <v>2</v>
      </c>
      <c r="C9" s="44" t="s">
        <v>9</v>
      </c>
      <c r="D9" s="44" t="s">
        <v>2</v>
      </c>
      <c r="E9" s="163">
        <f>SUM('Таблица №10'!G50)</f>
        <v>30.491</v>
      </c>
      <c r="F9" s="163">
        <f>SUM('Таблица №10'!H50)</f>
        <v>30.491</v>
      </c>
      <c r="G9" s="163">
        <f t="shared" si="0"/>
        <v>100</v>
      </c>
    </row>
    <row r="10" spans="1:7" ht="40.5" customHeight="1" outlineLevel="5">
      <c r="A10" s="81" t="str">
        <f>'Таблица №10'!A136</f>
        <v>Муниципальная программа "Инвестиционная программа по жилищно-коммунальному хозяйству Алексеевского муниципального района на 2022-2024 годы"</v>
      </c>
      <c r="B10" s="164" t="s">
        <v>6</v>
      </c>
      <c r="C10" s="166">
        <v>0</v>
      </c>
      <c r="D10" s="164" t="s">
        <v>193</v>
      </c>
      <c r="E10" s="165">
        <f>SUM(E11+E17+E14)</f>
        <v>23904.734659999995</v>
      </c>
      <c r="F10" s="165">
        <f>SUM(F11+F17+F14)</f>
        <v>23305.734660000002</v>
      </c>
      <c r="G10" s="165">
        <f t="shared" si="0"/>
        <v>97.49422025167966</v>
      </c>
    </row>
    <row r="11" spans="1:7" ht="49.5" customHeight="1" outlineLevel="5">
      <c r="A11" s="81" t="str">
        <f>'Таблица №10'!A137</f>
        <v>Подпрограмма "Создание условий для обеспечения качественными услугами жилищно-коммунального хозяйства жителей Алексеевского муниципального района"</v>
      </c>
      <c r="B11" s="164" t="s">
        <v>6</v>
      </c>
      <c r="C11" s="166">
        <v>1</v>
      </c>
      <c r="D11" s="164" t="s">
        <v>193</v>
      </c>
      <c r="E11" s="165">
        <f>SUM(E12:E13)</f>
        <v>5550.46429</v>
      </c>
      <c r="F11" s="165">
        <f>SUM(F12:F13)</f>
        <v>5550.46429</v>
      </c>
      <c r="G11" s="165">
        <f t="shared" si="0"/>
        <v>100</v>
      </c>
    </row>
    <row r="12" spans="1:7" ht="27" customHeight="1">
      <c r="A12" s="85" t="s">
        <v>203</v>
      </c>
      <c r="B12" s="44" t="s">
        <v>6</v>
      </c>
      <c r="C12" s="44" t="s">
        <v>196</v>
      </c>
      <c r="D12" s="44" t="s">
        <v>2</v>
      </c>
      <c r="E12" s="163">
        <f>SUM('Таблица №10'!G140+'Таблица №10'!G138)</f>
        <v>1106.0198500000001</v>
      </c>
      <c r="F12" s="163">
        <f>SUM('Таблица №10'!H140+'Таблица №10'!H138)</f>
        <v>1106.0198500000001</v>
      </c>
      <c r="G12" s="163">
        <f t="shared" si="0"/>
        <v>100</v>
      </c>
    </row>
    <row r="13" spans="1:7" ht="27" customHeight="1">
      <c r="A13" s="85" t="s">
        <v>359</v>
      </c>
      <c r="B13" s="44" t="s">
        <v>6</v>
      </c>
      <c r="C13" s="44" t="s">
        <v>196</v>
      </c>
      <c r="D13" s="44" t="s">
        <v>6</v>
      </c>
      <c r="E13" s="163">
        <f>SUM('Таблица №10'!G139)</f>
        <v>4444.44444</v>
      </c>
      <c r="F13" s="163">
        <f>SUM('Таблица №10'!H139)</f>
        <v>4444.44444</v>
      </c>
      <c r="G13" s="163">
        <f t="shared" si="0"/>
        <v>100</v>
      </c>
    </row>
    <row r="14" spans="1:7" ht="27" customHeight="1">
      <c r="A14" s="81" t="str">
        <f>'[1]Таблица №10'!A134</f>
        <v>Подпрограмма «Строительство, реконструкция и ремонт объектов муниципальной собственности Алексеевского муниципального района»</v>
      </c>
      <c r="B14" s="164" t="s">
        <v>6</v>
      </c>
      <c r="C14" s="166">
        <v>3</v>
      </c>
      <c r="D14" s="164" t="s">
        <v>193</v>
      </c>
      <c r="E14" s="165">
        <f>SUM(E15:E16)</f>
        <v>16819.260829999996</v>
      </c>
      <c r="F14" s="165">
        <f>SUM(F15:F16)</f>
        <v>16220.260830000001</v>
      </c>
      <c r="G14" s="165">
        <f t="shared" si="0"/>
        <v>96.43860686831387</v>
      </c>
    </row>
    <row r="15" spans="1:7" ht="36">
      <c r="A15" s="80" t="s">
        <v>229</v>
      </c>
      <c r="B15" s="44" t="s">
        <v>6</v>
      </c>
      <c r="C15" s="44" t="s">
        <v>198</v>
      </c>
      <c r="D15" s="44" t="s">
        <v>2</v>
      </c>
      <c r="E15" s="163">
        <f>SUM('Таблица №10'!G282+'Таблица №10'!G162+'Таблица №10'!G141)</f>
        <v>0</v>
      </c>
      <c r="F15" s="163">
        <f>SUM('Таблица №10'!H282+'Таблица №10'!H162+'Таблица №10'!H141)</f>
        <v>0</v>
      </c>
      <c r="G15" s="163">
        <v>0</v>
      </c>
    </row>
    <row r="16" spans="1:7" ht="24">
      <c r="A16" s="85" t="s">
        <v>217</v>
      </c>
      <c r="B16" s="44" t="s">
        <v>6</v>
      </c>
      <c r="C16" s="44" t="s">
        <v>198</v>
      </c>
      <c r="D16" s="44" t="s">
        <v>6</v>
      </c>
      <c r="E16" s="163">
        <f>SUM('Таблица №10'!G163+'Таблица №10'!G187+'Таблица №10'!G65+'Таблица №10'!G224)</f>
        <v>16819.260829999996</v>
      </c>
      <c r="F16" s="163">
        <f>SUM('Таблица №10'!H163+'Таблица №10'!H187+'Таблица №10'!H65+'Таблица №10'!H224)</f>
        <v>16220.260830000001</v>
      </c>
      <c r="G16" s="163">
        <f t="shared" si="0"/>
        <v>96.43860686831387</v>
      </c>
    </row>
    <row r="17" spans="1:7" ht="36" customHeight="1">
      <c r="A17" s="84" t="str">
        <f>'Таблица №10'!A66</f>
        <v>Подпрограмма "Энергосбережение и повышение энергетической эффективности Алексеевского муниципального района"</v>
      </c>
      <c r="B17" s="164" t="s">
        <v>6</v>
      </c>
      <c r="C17" s="164" t="s">
        <v>204</v>
      </c>
      <c r="D17" s="164" t="s">
        <v>193</v>
      </c>
      <c r="E17" s="165">
        <f>SUM(E18:E19)</f>
        <v>1535.00954</v>
      </c>
      <c r="F17" s="165">
        <f>SUM(F18:F19)</f>
        <v>1535.00954</v>
      </c>
      <c r="G17" s="165">
        <f t="shared" si="0"/>
        <v>100</v>
      </c>
    </row>
    <row r="18" spans="1:7" ht="27.75" customHeight="1">
      <c r="A18" s="85" t="s">
        <v>236</v>
      </c>
      <c r="B18" s="44" t="s">
        <v>6</v>
      </c>
      <c r="C18" s="44" t="s">
        <v>204</v>
      </c>
      <c r="D18" s="44" t="s">
        <v>2</v>
      </c>
      <c r="E18" s="163">
        <f>SUM('Таблица №10'!G67+'Таблица №10'!G165+'Таблица №10'!G192+'Таблица №10'!G191)</f>
        <v>482.37796000000003</v>
      </c>
      <c r="F18" s="163">
        <f>SUM('Таблица №10'!H67+'Таблица №10'!H165+'Таблица №10'!H192+'Таблица №10'!H191)</f>
        <v>482.37796000000003</v>
      </c>
      <c r="G18" s="163">
        <f t="shared" si="0"/>
        <v>100</v>
      </c>
    </row>
    <row r="19" spans="1:7" ht="48">
      <c r="A19" s="85" t="s">
        <v>308</v>
      </c>
      <c r="B19" s="44" t="s">
        <v>6</v>
      </c>
      <c r="C19" s="44" t="s">
        <v>204</v>
      </c>
      <c r="D19" s="44" t="s">
        <v>6</v>
      </c>
      <c r="E19" s="163">
        <f>SUM('Таблица №10'!G193)</f>
        <v>1052.63158</v>
      </c>
      <c r="F19" s="163">
        <f>SUM('Таблица №10'!H193)</f>
        <v>1052.63158</v>
      </c>
      <c r="G19" s="163">
        <f t="shared" si="0"/>
        <v>100</v>
      </c>
    </row>
    <row r="20" spans="1:7" ht="26.25" customHeight="1">
      <c r="A20" s="81" t="str">
        <f>'Таблица №10'!A152</f>
        <v>Муниципальная программа "Комплексное развитие сельских территорий"</v>
      </c>
      <c r="B20" s="164" t="s">
        <v>12</v>
      </c>
      <c r="C20" s="164" t="s">
        <v>9</v>
      </c>
      <c r="D20" s="164" t="s">
        <v>193</v>
      </c>
      <c r="E20" s="165">
        <f>SUM('Таблица №10'!G152)</f>
        <v>2706.187</v>
      </c>
      <c r="F20" s="165">
        <f>SUM('Таблица №10'!H152)</f>
        <v>2706.187</v>
      </c>
      <c r="G20" s="165">
        <f t="shared" si="0"/>
        <v>100</v>
      </c>
    </row>
    <row r="21" spans="1:7" ht="24">
      <c r="A21" s="80" t="s">
        <v>405</v>
      </c>
      <c r="B21" s="44" t="s">
        <v>12</v>
      </c>
      <c r="C21" s="44" t="s">
        <v>9</v>
      </c>
      <c r="D21" s="44" t="s">
        <v>6</v>
      </c>
      <c r="E21" s="163">
        <f>SUM('Таблица №10'!G152)</f>
        <v>2706.187</v>
      </c>
      <c r="F21" s="163">
        <f>SUM('Таблица №10'!H152)</f>
        <v>2706.187</v>
      </c>
      <c r="G21" s="163">
        <f t="shared" si="0"/>
        <v>100</v>
      </c>
    </row>
    <row r="22" spans="1:7" ht="39.75" customHeight="1">
      <c r="A22" s="81" t="str">
        <f>'Таблица №10'!A124</f>
        <v>Муниципальная программа "Развитие и поддержка малого предпринимательства Алексеевского муниципального района на 2019-2023 годы "</v>
      </c>
      <c r="B22" s="164" t="s">
        <v>13</v>
      </c>
      <c r="C22" s="164" t="s">
        <v>9</v>
      </c>
      <c r="D22" s="164" t="s">
        <v>193</v>
      </c>
      <c r="E22" s="165">
        <f>SUM('Таблица №10'!G124)</f>
        <v>40</v>
      </c>
      <c r="F22" s="165">
        <f>SUM('Таблица №10'!H124)</f>
        <v>40</v>
      </c>
      <c r="G22" s="165">
        <f t="shared" si="0"/>
        <v>100</v>
      </c>
    </row>
    <row r="23" spans="1:7" ht="36">
      <c r="A23" s="85" t="s">
        <v>205</v>
      </c>
      <c r="B23" s="44" t="s">
        <v>13</v>
      </c>
      <c r="C23" s="44" t="s">
        <v>9</v>
      </c>
      <c r="D23" s="44" t="s">
        <v>2</v>
      </c>
      <c r="E23" s="163">
        <f>SUM('Таблица №10'!G125)</f>
        <v>0</v>
      </c>
      <c r="F23" s="163">
        <f>SUM('Таблица №10'!H125)</f>
        <v>0</v>
      </c>
      <c r="G23" s="163">
        <v>0</v>
      </c>
    </row>
    <row r="24" spans="1:7" ht="23.25" customHeight="1">
      <c r="A24" s="85" t="s">
        <v>206</v>
      </c>
      <c r="B24" s="44" t="s">
        <v>13</v>
      </c>
      <c r="C24" s="44" t="s">
        <v>9</v>
      </c>
      <c r="D24" s="44" t="s">
        <v>6</v>
      </c>
      <c r="E24" s="163">
        <f>SUM('Таблица №10'!G127)</f>
        <v>40</v>
      </c>
      <c r="F24" s="163">
        <f>SUM('Таблица №10'!H127)</f>
        <v>40</v>
      </c>
      <c r="G24" s="163">
        <f t="shared" si="0"/>
        <v>100</v>
      </c>
    </row>
    <row r="25" spans="1:7" ht="36" hidden="1">
      <c r="A25" s="85" t="s">
        <v>266</v>
      </c>
      <c r="B25" s="44" t="s">
        <v>13</v>
      </c>
      <c r="C25" s="44" t="s">
        <v>9</v>
      </c>
      <c r="D25" s="44" t="s">
        <v>12</v>
      </c>
      <c r="E25" s="163">
        <f>SUM('Таблица №10'!G126)</f>
        <v>0</v>
      </c>
      <c r="F25" s="163">
        <f>SUM('Таблица №10'!H126)</f>
        <v>0</v>
      </c>
      <c r="G25" s="163" t="e">
        <f t="shared" si="0"/>
        <v>#DIV/0!</v>
      </c>
    </row>
    <row r="26" spans="1:7" ht="38.25" customHeight="1">
      <c r="A26" s="81" t="str">
        <f>'Таблица №10'!A155</f>
        <v>Муниципальная программа "Охрана окружающей среды Алексеевского муниципального района на 2019-2023 годы"</v>
      </c>
      <c r="B26" s="164" t="s">
        <v>15</v>
      </c>
      <c r="C26" s="164" t="s">
        <v>9</v>
      </c>
      <c r="D26" s="164" t="s">
        <v>193</v>
      </c>
      <c r="E26" s="165">
        <f>SUM('Таблица №10'!G155)</f>
        <v>0</v>
      </c>
      <c r="F26" s="165">
        <f>SUM('Таблица №10'!H155)</f>
        <v>0</v>
      </c>
      <c r="G26" s="165">
        <v>0</v>
      </c>
    </row>
    <row r="27" spans="1:7" ht="24">
      <c r="A27" s="85" t="s">
        <v>286</v>
      </c>
      <c r="B27" s="44" t="s">
        <v>15</v>
      </c>
      <c r="C27" s="44" t="s">
        <v>9</v>
      </c>
      <c r="D27" s="44" t="s">
        <v>2</v>
      </c>
      <c r="E27" s="163">
        <f>SUM('Таблица №10'!G155)</f>
        <v>0</v>
      </c>
      <c r="F27" s="163">
        <f>SUM('Таблица №10'!H155)</f>
        <v>0</v>
      </c>
      <c r="G27" s="163">
        <v>0</v>
      </c>
    </row>
    <row r="28" spans="1:7" ht="1.5" customHeight="1" hidden="1">
      <c r="A28" s="81" t="str">
        <f>'Таблица №10'!A257</f>
        <v>Муниципальная программа "Развитие культуры и искусства в Алексеевском муниципальном районе на 2021-2025 годы"</v>
      </c>
      <c r="B28" s="164" t="s">
        <v>353</v>
      </c>
      <c r="C28" s="164" t="s">
        <v>9</v>
      </c>
      <c r="D28" s="164" t="s">
        <v>193</v>
      </c>
      <c r="E28" s="165">
        <f>SUM('Таблица №10'!G257)</f>
        <v>0</v>
      </c>
      <c r="F28" s="165">
        <f>SUM('Таблица №10'!H257)</f>
        <v>0</v>
      </c>
      <c r="G28" s="163" t="e">
        <f t="shared" si="0"/>
        <v>#DIV/0!</v>
      </c>
    </row>
    <row r="29" spans="1:7" ht="72" hidden="1">
      <c r="A29" s="85" t="s">
        <v>355</v>
      </c>
      <c r="B29" s="44" t="s">
        <v>353</v>
      </c>
      <c r="C29" s="44" t="s">
        <v>9</v>
      </c>
      <c r="D29" s="44" t="s">
        <v>354</v>
      </c>
      <c r="E29" s="163">
        <f>SUM('Таблица №10'!G257)</f>
        <v>0</v>
      </c>
      <c r="F29" s="163">
        <f>SUM('Таблица №10'!H257)</f>
        <v>0</v>
      </c>
      <c r="G29" s="163" t="e">
        <f t="shared" si="0"/>
        <v>#DIV/0!</v>
      </c>
    </row>
    <row r="30" spans="1:7" ht="62.25" customHeight="1">
      <c r="A30" s="81" t="str">
        <f>'Таблица №10'!A231</f>
        <v>Муниципальная программа "Реализация мероприятий молодежной политики по противодействию наркомании, профилактике безнадзорности, правонарушений и неблагополучия детей на территории Алексеевского муниципального района на 2018-2022 годы "</v>
      </c>
      <c r="B30" s="164" t="s">
        <v>24</v>
      </c>
      <c r="C30" s="164" t="s">
        <v>9</v>
      </c>
      <c r="D30" s="164" t="s">
        <v>193</v>
      </c>
      <c r="E30" s="165">
        <f>SUM('Таблица №10'!G231)</f>
        <v>60</v>
      </c>
      <c r="F30" s="165">
        <f>SUM('Таблица №10'!H231)</f>
        <v>60</v>
      </c>
      <c r="G30" s="165">
        <f t="shared" si="0"/>
        <v>100</v>
      </c>
    </row>
    <row r="31" spans="1:7" ht="27.75" customHeight="1">
      <c r="A31" s="81" t="str">
        <f>'Таблица №10'!A232</f>
        <v>Подпрограмма "Комплексные меры по противодействию наркомании"</v>
      </c>
      <c r="B31" s="164" t="s">
        <v>24</v>
      </c>
      <c r="C31" s="164" t="s">
        <v>196</v>
      </c>
      <c r="D31" s="164" t="s">
        <v>193</v>
      </c>
      <c r="E31" s="165">
        <f>SUM('Таблица №10'!G232)</f>
        <v>20</v>
      </c>
      <c r="F31" s="165">
        <f>SUM('Таблица №10'!H232)</f>
        <v>20</v>
      </c>
      <c r="G31" s="165">
        <f t="shared" si="0"/>
        <v>100</v>
      </c>
    </row>
    <row r="32" spans="1:7" ht="37.5" customHeight="1">
      <c r="A32" s="85" t="s">
        <v>265</v>
      </c>
      <c r="B32" s="44" t="s">
        <v>24</v>
      </c>
      <c r="C32" s="44" t="s">
        <v>196</v>
      </c>
      <c r="D32" s="44" t="s">
        <v>2</v>
      </c>
      <c r="E32" s="163">
        <f>SUM('Таблица №10'!G233)</f>
        <v>20</v>
      </c>
      <c r="F32" s="163">
        <f>SUM('Таблица №10'!H233)</f>
        <v>20</v>
      </c>
      <c r="G32" s="163">
        <f t="shared" si="0"/>
        <v>100</v>
      </c>
    </row>
    <row r="33" spans="1:7" ht="29.25" customHeight="1" outlineLevel="1">
      <c r="A33" s="81" t="str">
        <f>'Таблица №10'!A234</f>
        <v>Подпрограмма "Реализация мероприятий молодежной политики и социальной адаптации молодежи "</v>
      </c>
      <c r="B33" s="164" t="s">
        <v>24</v>
      </c>
      <c r="C33" s="164" t="s">
        <v>197</v>
      </c>
      <c r="D33" s="164" t="s">
        <v>193</v>
      </c>
      <c r="E33" s="165">
        <f>SUM('Таблица №10'!G234)</f>
        <v>30</v>
      </c>
      <c r="F33" s="165">
        <f>SUM('Таблица №10'!H234)</f>
        <v>30</v>
      </c>
      <c r="G33" s="165">
        <f t="shared" si="0"/>
        <v>100</v>
      </c>
    </row>
    <row r="34" spans="1:7" ht="30" customHeight="1" outlineLevel="5">
      <c r="A34" s="85" t="s">
        <v>207</v>
      </c>
      <c r="B34" s="44" t="s">
        <v>24</v>
      </c>
      <c r="C34" s="44" t="s">
        <v>197</v>
      </c>
      <c r="D34" s="44" t="s">
        <v>2</v>
      </c>
      <c r="E34" s="163">
        <f>SUM('Таблица №10'!G235)</f>
        <v>30</v>
      </c>
      <c r="F34" s="163">
        <f>SUM('Таблица №10'!H235)</f>
        <v>30</v>
      </c>
      <c r="G34" s="163">
        <f t="shared" si="0"/>
        <v>100</v>
      </c>
    </row>
    <row r="35" spans="1:7" ht="42.75" customHeight="1" outlineLevel="5">
      <c r="A35" s="81" t="str">
        <f>'Таблица №10'!A236</f>
        <v>Подпрограмма " Профилактика безнадзорности, правонарушений и неблагополучия несовершеннолетних"</v>
      </c>
      <c r="B35" s="164" t="s">
        <v>24</v>
      </c>
      <c r="C35" s="164" t="s">
        <v>198</v>
      </c>
      <c r="D35" s="164" t="s">
        <v>193</v>
      </c>
      <c r="E35" s="165">
        <f>SUM('Таблица №10'!G236)</f>
        <v>10</v>
      </c>
      <c r="F35" s="165">
        <f>SUM('Таблица №10'!H236)</f>
        <v>10</v>
      </c>
      <c r="G35" s="165">
        <f t="shared" si="0"/>
        <v>100</v>
      </c>
    </row>
    <row r="36" spans="1:7" s="16" customFormat="1" ht="36.75" customHeight="1" outlineLevel="2">
      <c r="A36" s="85" t="s">
        <v>258</v>
      </c>
      <c r="B36" s="44" t="s">
        <v>24</v>
      </c>
      <c r="C36" s="45">
        <v>3</v>
      </c>
      <c r="D36" s="44" t="s">
        <v>2</v>
      </c>
      <c r="E36" s="163">
        <f>SUM('Таблица №10'!G237)</f>
        <v>10</v>
      </c>
      <c r="F36" s="163">
        <f>SUM('Таблица №10'!H237)</f>
        <v>10</v>
      </c>
      <c r="G36" s="163">
        <f t="shared" si="0"/>
        <v>100</v>
      </c>
    </row>
    <row r="37" spans="1:7" s="16" customFormat="1" ht="36" hidden="1" outlineLevel="2">
      <c r="A37" s="85" t="s">
        <v>259</v>
      </c>
      <c r="B37" s="44" t="s">
        <v>24</v>
      </c>
      <c r="C37" s="45">
        <v>3</v>
      </c>
      <c r="D37" s="44" t="s">
        <v>6</v>
      </c>
      <c r="E37" s="163">
        <f>SUM('Таблица №10'!G238)</f>
        <v>0</v>
      </c>
      <c r="F37" s="163">
        <f>SUM('Таблица №10'!H238)</f>
        <v>0</v>
      </c>
      <c r="G37" s="163" t="e">
        <f t="shared" si="0"/>
        <v>#DIV/0!</v>
      </c>
    </row>
    <row r="38" spans="1:7" s="16" customFormat="1" ht="24" hidden="1" outlineLevel="2">
      <c r="A38" s="85" t="s">
        <v>260</v>
      </c>
      <c r="B38" s="44" t="s">
        <v>24</v>
      </c>
      <c r="C38" s="45">
        <v>3</v>
      </c>
      <c r="D38" s="44" t="s">
        <v>12</v>
      </c>
      <c r="E38" s="163">
        <f>SUM('Таблица №10'!G239)</f>
        <v>0</v>
      </c>
      <c r="F38" s="163">
        <f>SUM('Таблица №10'!H239)</f>
        <v>0</v>
      </c>
      <c r="G38" s="163" t="e">
        <f t="shared" si="0"/>
        <v>#DIV/0!</v>
      </c>
    </row>
    <row r="39" spans="1:7" s="16" customFormat="1" ht="36" hidden="1" outlineLevel="2">
      <c r="A39" s="81" t="str">
        <f>'Таблица №10'!A247</f>
        <v>Ведомственная целевая программа "Развитие образования детей на территории Алексеевского муниципального района на 2020-2022 годы"</v>
      </c>
      <c r="B39" s="164" t="s">
        <v>221</v>
      </c>
      <c r="C39" s="164" t="s">
        <v>9</v>
      </c>
      <c r="D39" s="164" t="s">
        <v>193</v>
      </c>
      <c r="E39" s="165"/>
      <c r="F39" s="165"/>
      <c r="G39" s="163"/>
    </row>
    <row r="40" spans="1:7" s="16" customFormat="1" ht="48" hidden="1" outlineLevel="2">
      <c r="A40" s="85" t="s">
        <v>223</v>
      </c>
      <c r="B40" s="44" t="s">
        <v>221</v>
      </c>
      <c r="C40" s="45">
        <v>0</v>
      </c>
      <c r="D40" s="44" t="s">
        <v>2</v>
      </c>
      <c r="E40" s="163"/>
      <c r="F40" s="163"/>
      <c r="G40" s="163"/>
    </row>
    <row r="41" spans="1:7" s="16" customFormat="1" ht="40.5" customHeight="1" outlineLevel="2">
      <c r="A41" s="81" t="str">
        <f>'Таблица №10'!A128</f>
        <v>Муниципальная программа "Градостроительная политика на территории Алексеевского муниципального района на 2022–2024 годы"</v>
      </c>
      <c r="B41" s="164" t="s">
        <v>290</v>
      </c>
      <c r="C41" s="166">
        <v>0</v>
      </c>
      <c r="D41" s="164" t="s">
        <v>193</v>
      </c>
      <c r="E41" s="165">
        <f>SUM('Таблица №10'!G128)</f>
        <v>8691.105810000001</v>
      </c>
      <c r="F41" s="165">
        <f>SUM('Таблица №10'!H128)</f>
        <v>8691.105810000001</v>
      </c>
      <c r="G41" s="165">
        <f t="shared" si="0"/>
        <v>100</v>
      </c>
    </row>
    <row r="42" spans="1:7" s="16" customFormat="1" ht="38.25" customHeight="1" outlineLevel="2">
      <c r="A42" s="85" t="s">
        <v>292</v>
      </c>
      <c r="B42" s="44" t="s">
        <v>290</v>
      </c>
      <c r="C42" s="45">
        <v>0</v>
      </c>
      <c r="D42" s="44" t="s">
        <v>2</v>
      </c>
      <c r="E42" s="163">
        <f>SUM('Таблица №10'!G129)</f>
        <v>301.388</v>
      </c>
      <c r="F42" s="163">
        <f>SUM('Таблица №10'!H129)</f>
        <v>301.388</v>
      </c>
      <c r="G42" s="163">
        <f t="shared" si="0"/>
        <v>100</v>
      </c>
    </row>
    <row r="43" spans="1:7" s="16" customFormat="1" ht="59.25" customHeight="1" outlineLevel="2">
      <c r="A43" s="85" t="s">
        <v>291</v>
      </c>
      <c r="B43" s="44" t="s">
        <v>290</v>
      </c>
      <c r="C43" s="45">
        <v>0</v>
      </c>
      <c r="D43" s="44" t="s">
        <v>6</v>
      </c>
      <c r="E43" s="163">
        <f>SUM('Таблица №10'!G130)</f>
        <v>230</v>
      </c>
      <c r="F43" s="163">
        <f>SUM('Таблица №10'!H130)</f>
        <v>230</v>
      </c>
      <c r="G43" s="163">
        <f t="shared" si="0"/>
        <v>100</v>
      </c>
    </row>
    <row r="44" spans="1:7" s="16" customFormat="1" ht="26.25" customHeight="1" outlineLevel="2">
      <c r="A44" s="85" t="s">
        <v>386</v>
      </c>
      <c r="B44" s="44" t="s">
        <v>290</v>
      </c>
      <c r="C44" s="45">
        <v>0</v>
      </c>
      <c r="D44" s="44" t="s">
        <v>12</v>
      </c>
      <c r="E44" s="163">
        <f>SUM('Таблица №10'!G131)</f>
        <v>8159.71781</v>
      </c>
      <c r="F44" s="163">
        <f>SUM('Таблица №10'!H133)</f>
        <v>815.9717800000001</v>
      </c>
      <c r="G44" s="163">
        <f t="shared" si="0"/>
        <v>9.999999987744674</v>
      </c>
    </row>
    <row r="45" spans="1:7" s="16" customFormat="1" ht="48" hidden="1" outlineLevel="2" collapsed="1">
      <c r="A45" s="81" t="str">
        <f>'Таблица №10'!A277</f>
        <v>Муниципальная программа "Благоустройство и ремонт памятников, обелисков и воинских захоронений на территории Алексеевского муниципального района на 2021-2024 годы"</v>
      </c>
      <c r="B45" s="164" t="s">
        <v>361</v>
      </c>
      <c r="C45" s="164" t="s">
        <v>9</v>
      </c>
      <c r="D45" s="164" t="s">
        <v>193</v>
      </c>
      <c r="E45" s="165">
        <f>SUM('Таблица №10'!G277)</f>
        <v>0</v>
      </c>
      <c r="F45" s="165">
        <f>SUM('Таблица №10'!H277)</f>
        <v>0</v>
      </c>
      <c r="G45" s="163" t="e">
        <f t="shared" si="0"/>
        <v>#DIV/0!</v>
      </c>
    </row>
    <row r="46" spans="1:7" ht="36" hidden="1" outlineLevel="3">
      <c r="A46" s="80" t="s">
        <v>362</v>
      </c>
      <c r="B46" s="44" t="s">
        <v>361</v>
      </c>
      <c r="C46" s="44" t="s">
        <v>9</v>
      </c>
      <c r="D46" s="44" t="s">
        <v>2</v>
      </c>
      <c r="E46" s="163">
        <f>SUM('Таблица №10'!G278)</f>
        <v>0</v>
      </c>
      <c r="F46" s="163">
        <f>SUM('Таблица №10'!H278)</f>
        <v>0</v>
      </c>
      <c r="G46" s="163" t="e">
        <f t="shared" si="0"/>
        <v>#DIV/0!</v>
      </c>
    </row>
    <row r="47" spans="1:7" ht="35.25" customHeight="1">
      <c r="A47" s="81" t="str">
        <f>'Таблица №10'!A260</f>
        <v>Муниципальная программа "Развитие народных художественных промыслов Алексеевского муниципального района на 2019-2023 годы"</v>
      </c>
      <c r="B47" s="164" t="s">
        <v>5</v>
      </c>
      <c r="C47" s="164" t="s">
        <v>9</v>
      </c>
      <c r="D47" s="164" t="s">
        <v>193</v>
      </c>
      <c r="E47" s="165">
        <f>SUM('Таблица №10'!G260)</f>
        <v>6.6</v>
      </c>
      <c r="F47" s="165">
        <f>SUM('Таблица №10'!H260)</f>
        <v>6.6</v>
      </c>
      <c r="G47" s="165">
        <f t="shared" si="0"/>
        <v>100</v>
      </c>
    </row>
    <row r="48" spans="1:7" ht="36" customHeight="1">
      <c r="A48" s="85" t="s">
        <v>208</v>
      </c>
      <c r="B48" s="44" t="s">
        <v>5</v>
      </c>
      <c r="C48" s="44" t="s">
        <v>9</v>
      </c>
      <c r="D48" s="44" t="s">
        <v>2</v>
      </c>
      <c r="E48" s="163">
        <f>SUM('Таблица №10'!G261)</f>
        <v>6.6</v>
      </c>
      <c r="F48" s="163">
        <f>SUM('Таблица №10'!H261)</f>
        <v>6.6</v>
      </c>
      <c r="G48" s="163">
        <f t="shared" si="0"/>
        <v>100</v>
      </c>
    </row>
    <row r="49" spans="1:7" ht="39" customHeight="1">
      <c r="A49" s="81" t="str">
        <f>'Таблица №10'!A262</f>
        <v>Муниципальная программа "О поддержке деятельности казачьих обществ Алексеевского муниципального района на 2019-2023 годы"</v>
      </c>
      <c r="B49" s="44" t="s">
        <v>4</v>
      </c>
      <c r="C49" s="44" t="s">
        <v>9</v>
      </c>
      <c r="D49" s="44" t="s">
        <v>193</v>
      </c>
      <c r="E49" s="165">
        <f>SUM('Таблица №10'!G262)</f>
        <v>0</v>
      </c>
      <c r="F49" s="165">
        <f>SUM('Таблица №10'!H262)</f>
        <v>0</v>
      </c>
      <c r="G49" s="165">
        <v>0</v>
      </c>
    </row>
    <row r="50" spans="1:7" ht="27" customHeight="1">
      <c r="A50" s="85" t="s">
        <v>209</v>
      </c>
      <c r="B50" s="44" t="s">
        <v>4</v>
      </c>
      <c r="C50" s="44">
        <f>'Таблица №10'!E329</f>
        <v>0</v>
      </c>
      <c r="D50" s="44" t="s">
        <v>2</v>
      </c>
      <c r="E50" s="163">
        <f>SUM('Таблица №10'!G263)</f>
        <v>0</v>
      </c>
      <c r="F50" s="163">
        <f>SUM('Таблица №10'!H263)</f>
        <v>0</v>
      </c>
      <c r="G50" s="163">
        <v>0</v>
      </c>
    </row>
    <row r="51" spans="1:7" ht="74.25" customHeight="1">
      <c r="A51" s="81" t="str">
        <f>'Таблица №10'!A289</f>
        <v>Муниципальная программа "О развитии ипотечного жилищного кредитования и поддержки молодежи и молодых семей в строительстве и приобретении жилья, а также возмещении части арендной платы за жилье молодым специалистам, работающим в Алексеевском муниципальном районе 2019-2023 годы"</v>
      </c>
      <c r="B51" s="164" t="s">
        <v>7</v>
      </c>
      <c r="C51" s="164">
        <f>'Таблица №10'!E117</f>
        <v>0</v>
      </c>
      <c r="D51" s="164" t="s">
        <v>193</v>
      </c>
      <c r="E51" s="165">
        <f>SUM('Таблица №10'!G289)</f>
        <v>828.227</v>
      </c>
      <c r="F51" s="165">
        <f>SUM('Таблица №10'!H289)</f>
        <v>828.227</v>
      </c>
      <c r="G51" s="165">
        <f t="shared" si="0"/>
        <v>100</v>
      </c>
    </row>
    <row r="52" spans="1:7" ht="72" customHeight="1">
      <c r="A52" s="85" t="s">
        <v>210</v>
      </c>
      <c r="B52" s="44" t="s">
        <v>7</v>
      </c>
      <c r="C52" s="44" t="s">
        <v>9</v>
      </c>
      <c r="D52" s="44" t="s">
        <v>2</v>
      </c>
      <c r="E52" s="163">
        <f>SUM('Таблица №10'!G290)</f>
        <v>828.227</v>
      </c>
      <c r="F52" s="163">
        <f>SUM('Таблица №10'!H290)</f>
        <v>828.227</v>
      </c>
      <c r="G52" s="163">
        <f t="shared" si="0"/>
        <v>100</v>
      </c>
    </row>
    <row r="53" spans="1:7" ht="24" customHeight="1">
      <c r="A53" s="81" t="str">
        <f>'Таблица №10'!A68</f>
        <v>Муниципальная программа "Маршрут Победы на 2019-2023 годы"</v>
      </c>
      <c r="B53" s="164" t="s">
        <v>10</v>
      </c>
      <c r="C53" s="164" t="s">
        <v>9</v>
      </c>
      <c r="D53" s="164" t="s">
        <v>193</v>
      </c>
      <c r="E53" s="165">
        <f>SUM('Таблица №10'!G68)</f>
        <v>189.991</v>
      </c>
      <c r="F53" s="165">
        <f>SUM('Таблица №10'!H68)</f>
        <v>189.991</v>
      </c>
      <c r="G53" s="165">
        <f t="shared" si="0"/>
        <v>100</v>
      </c>
    </row>
    <row r="54" spans="1:7" ht="50.25" customHeight="1">
      <c r="A54" s="85" t="s">
        <v>371</v>
      </c>
      <c r="B54" s="44" t="s">
        <v>10</v>
      </c>
      <c r="C54" s="44" t="s">
        <v>9</v>
      </c>
      <c r="D54" s="44" t="s">
        <v>2</v>
      </c>
      <c r="E54" s="163">
        <f>SUM('Таблица №10'!G69+'Таблица №10'!G70)</f>
        <v>189.991</v>
      </c>
      <c r="F54" s="163">
        <f>SUM('Таблица №10'!H69)</f>
        <v>171.991</v>
      </c>
      <c r="G54" s="163">
        <f t="shared" si="0"/>
        <v>90.52586701475333</v>
      </c>
    </row>
    <row r="55" spans="1:7" ht="40.5" customHeight="1">
      <c r="A55" s="84" t="str">
        <f>'Таблица №10'!A328</f>
        <v>Муниципальная программа "Развитие физической культуры и спорта в Алексеевском муниципальном районе на 2019-2023 годы"</v>
      </c>
      <c r="B55" s="164" t="s">
        <v>18</v>
      </c>
      <c r="C55" s="164" t="s">
        <v>9</v>
      </c>
      <c r="D55" s="164" t="s">
        <v>193</v>
      </c>
      <c r="E55" s="165">
        <f>SUM(E56+E57+E58)</f>
        <v>400</v>
      </c>
      <c r="F55" s="165">
        <f>SUM(F56+F57+F58)</f>
        <v>400</v>
      </c>
      <c r="G55" s="165">
        <f t="shared" si="0"/>
        <v>100</v>
      </c>
    </row>
    <row r="56" spans="1:7" ht="48.75" customHeight="1">
      <c r="A56" s="85" t="s">
        <v>211</v>
      </c>
      <c r="B56" s="44" t="s">
        <v>18</v>
      </c>
      <c r="C56" s="44" t="s">
        <v>9</v>
      </c>
      <c r="D56" s="44" t="s">
        <v>2</v>
      </c>
      <c r="E56" s="163">
        <f>SUM('Таблица №10'!G329)</f>
        <v>400</v>
      </c>
      <c r="F56" s="163">
        <f>SUM('Таблица №10'!H329)</f>
        <v>400</v>
      </c>
      <c r="G56" s="163">
        <f t="shared" si="0"/>
        <v>100</v>
      </c>
    </row>
    <row r="57" spans="1:7" ht="39.75" customHeight="1">
      <c r="A57" s="85" t="s">
        <v>370</v>
      </c>
      <c r="B57" s="44" t="s">
        <v>18</v>
      </c>
      <c r="C57" s="44" t="s">
        <v>9</v>
      </c>
      <c r="D57" s="44" t="s">
        <v>12</v>
      </c>
      <c r="E57" s="163">
        <f>SUM('Таблица №10'!G324)</f>
        <v>0</v>
      </c>
      <c r="F57" s="163">
        <f>SUM('Таблица №10'!H324)</f>
        <v>0</v>
      </c>
      <c r="G57" s="163">
        <v>0</v>
      </c>
    </row>
    <row r="58" spans="1:7" ht="72" hidden="1">
      <c r="A58" s="85" t="s">
        <v>312</v>
      </c>
      <c r="B58" s="44" t="s">
        <v>18</v>
      </c>
      <c r="C58" s="44" t="s">
        <v>9</v>
      </c>
      <c r="D58" s="44" t="s">
        <v>311</v>
      </c>
      <c r="E58" s="163">
        <f>SUM('Таблица №10'!G195+'Таблица №10'!G196)</f>
        <v>0</v>
      </c>
      <c r="F58" s="163">
        <f>SUM('Таблица №10'!H195+'Таблица №10'!H196)</f>
        <v>0</v>
      </c>
      <c r="G58" s="163" t="e">
        <f t="shared" si="0"/>
        <v>#DIV/0!</v>
      </c>
    </row>
    <row r="59" spans="1:7" ht="51" customHeight="1">
      <c r="A59" s="84" t="str">
        <f>'Таблица №10'!A116</f>
        <v>Муниципальная программа "Совершенствование и развитие сети автомобильных дорог общего пользования Алексеевского муниципального района Волгоградской области на 2020-2024 годы"</v>
      </c>
      <c r="B59" s="164" t="s">
        <v>149</v>
      </c>
      <c r="C59" s="164" t="s">
        <v>9</v>
      </c>
      <c r="D59" s="164" t="s">
        <v>193</v>
      </c>
      <c r="E59" s="165">
        <f>SUM('Таблица №10'!G116)</f>
        <v>29618.750979999997</v>
      </c>
      <c r="F59" s="165">
        <f>SUM('Таблица №10'!H116)</f>
        <v>27053.738230000003</v>
      </c>
      <c r="G59" s="165">
        <f t="shared" si="0"/>
        <v>91.33990237558628</v>
      </c>
    </row>
    <row r="60" spans="1:7" ht="39.75" customHeight="1">
      <c r="A60" s="85" t="s">
        <v>261</v>
      </c>
      <c r="B60" s="44" t="s">
        <v>149</v>
      </c>
      <c r="C60" s="44" t="s">
        <v>9</v>
      </c>
      <c r="D60" s="44" t="s">
        <v>2</v>
      </c>
      <c r="E60" s="163">
        <f>SUM('Таблица №10'!G116)</f>
        <v>29618.750979999997</v>
      </c>
      <c r="F60" s="163">
        <f>SUM('Таблица №10'!H116)</f>
        <v>27053.738230000003</v>
      </c>
      <c r="G60" s="163">
        <f t="shared" si="0"/>
        <v>91.33990237558628</v>
      </c>
    </row>
    <row r="61" spans="1:7" ht="54" customHeight="1">
      <c r="A61" s="84" t="str">
        <f>'Таблица №10'!A71</f>
        <v>Муниципальная программа "Профилактика правонарушений и безопасности дорожного движения на территории Алексеевского муниципального района на 2019-2023 годы"</v>
      </c>
      <c r="B61" s="164" t="s">
        <v>151</v>
      </c>
      <c r="C61" s="164" t="s">
        <v>9</v>
      </c>
      <c r="D61" s="164" t="s">
        <v>193</v>
      </c>
      <c r="E61" s="165">
        <f>SUM(E62+E64)</f>
        <v>0</v>
      </c>
      <c r="F61" s="165">
        <f>SUM(F62+F64)</f>
        <v>0</v>
      </c>
      <c r="G61" s="165">
        <v>0</v>
      </c>
    </row>
    <row r="62" spans="1:7" ht="18" customHeight="1">
      <c r="A62" s="84" t="str">
        <f>'Таблица №10'!A72</f>
        <v>Подпрограмма "Профилактика правонарушений"</v>
      </c>
      <c r="B62" s="164" t="s">
        <v>151</v>
      </c>
      <c r="C62" s="164" t="s">
        <v>196</v>
      </c>
      <c r="D62" s="164" t="s">
        <v>193</v>
      </c>
      <c r="E62" s="165">
        <f>SUM('Таблица №10'!G72)</f>
        <v>0</v>
      </c>
      <c r="F62" s="165">
        <f>SUM('Таблица №10'!H72)</f>
        <v>0</v>
      </c>
      <c r="G62" s="165">
        <v>0</v>
      </c>
    </row>
    <row r="63" spans="1:7" ht="30.75" customHeight="1">
      <c r="A63" s="85" t="s">
        <v>293</v>
      </c>
      <c r="B63" s="44" t="s">
        <v>151</v>
      </c>
      <c r="C63" s="44" t="s">
        <v>196</v>
      </c>
      <c r="D63" s="44" t="s">
        <v>2</v>
      </c>
      <c r="E63" s="163">
        <f>SUM('Таблица №10'!G73)</f>
        <v>0</v>
      </c>
      <c r="F63" s="163">
        <f>SUM('Таблица №10'!H73)</f>
        <v>0</v>
      </c>
      <c r="G63" s="163">
        <v>0</v>
      </c>
    </row>
    <row r="64" spans="1:7" ht="24.75" customHeight="1">
      <c r="A64" s="84" t="str">
        <f>'Таблица №10'!A74</f>
        <v>Подпрограмма "Формирование законопослушного поведения участников дорожного движения"</v>
      </c>
      <c r="B64" s="164" t="s">
        <v>151</v>
      </c>
      <c r="C64" s="164" t="s">
        <v>197</v>
      </c>
      <c r="D64" s="164" t="s">
        <v>193</v>
      </c>
      <c r="E64" s="165">
        <f>SUM('Таблица №10'!G74)</f>
        <v>0</v>
      </c>
      <c r="F64" s="165">
        <f>SUM('Таблица №10'!H74)</f>
        <v>0</v>
      </c>
      <c r="G64" s="165">
        <v>0</v>
      </c>
    </row>
    <row r="65" spans="1:7" ht="33" customHeight="1">
      <c r="A65" s="85" t="s">
        <v>289</v>
      </c>
      <c r="B65" s="44" t="s">
        <v>151</v>
      </c>
      <c r="C65" s="44" t="s">
        <v>197</v>
      </c>
      <c r="D65" s="44" t="s">
        <v>2</v>
      </c>
      <c r="E65" s="163">
        <f>SUM('Таблица №10'!G75)</f>
        <v>0</v>
      </c>
      <c r="F65" s="163">
        <f>SUM('Таблица №10'!H75)</f>
        <v>0</v>
      </c>
      <c r="G65" s="163">
        <v>0</v>
      </c>
    </row>
    <row r="66" spans="1:7" ht="39.75" customHeight="1" hidden="1">
      <c r="A66" s="84" t="str">
        <f>'Таблица №10'!A76</f>
        <v>Муниципальная программа "Улучшение условий и охраны труда в Алексеевском муниципальном районе на 2017-2019 годы"</v>
      </c>
      <c r="B66" s="164" t="s">
        <v>238</v>
      </c>
      <c r="C66" s="164" t="s">
        <v>9</v>
      </c>
      <c r="D66" s="164" t="s">
        <v>193</v>
      </c>
      <c r="E66" s="165">
        <f>SUM('Таблица №10'!G76)</f>
        <v>0</v>
      </c>
      <c r="F66" s="165">
        <f>SUM('Таблица №10'!H76)</f>
        <v>0</v>
      </c>
      <c r="G66" s="163" t="e">
        <f t="shared" si="0"/>
        <v>#DIV/0!</v>
      </c>
    </row>
    <row r="67" spans="1:7" ht="63.75" customHeight="1" hidden="1">
      <c r="A67" s="86" t="s">
        <v>237</v>
      </c>
      <c r="B67" s="44" t="s">
        <v>238</v>
      </c>
      <c r="C67" s="44" t="s">
        <v>9</v>
      </c>
      <c r="D67" s="44" t="s">
        <v>2</v>
      </c>
      <c r="E67" s="163">
        <f>SUM('Таблица №10'!G77)</f>
        <v>0</v>
      </c>
      <c r="F67" s="163">
        <f>SUM('Таблица №10'!H77)</f>
        <v>0</v>
      </c>
      <c r="G67" s="163" t="e">
        <f t="shared" si="0"/>
        <v>#DIV/0!</v>
      </c>
    </row>
    <row r="68" spans="1:7" ht="108" customHeight="1">
      <c r="A68" s="84" t="str">
        <f>'Таблица №10'!A166</f>
        <v>Муниципальная программа "О проведении апробации региональной модульной дополнительной образовательной программы по финансовой грамотности и учебных материалов для разных возрастных групп обучающихся  общеобразовательных организаций и дошкольных образовательных организаций Алексеевского муниципального района в рамках вариантного и/или факультативного курса на 2018-2022 годы"</v>
      </c>
      <c r="B68" s="164" t="s">
        <v>220</v>
      </c>
      <c r="C68" s="164" t="s">
        <v>9</v>
      </c>
      <c r="D68" s="164" t="s">
        <v>193</v>
      </c>
      <c r="E68" s="165">
        <f>SUM(E69:E72)</f>
        <v>1250.556</v>
      </c>
      <c r="F68" s="165">
        <f>SUM(F69:F72)</f>
        <v>1250.556</v>
      </c>
      <c r="G68" s="165">
        <f t="shared" si="0"/>
        <v>100</v>
      </c>
    </row>
    <row r="69" spans="1:7" ht="73.5" customHeight="1">
      <c r="A69" s="85" t="s">
        <v>262</v>
      </c>
      <c r="B69" s="44" t="s">
        <v>220</v>
      </c>
      <c r="C69" s="44" t="s">
        <v>9</v>
      </c>
      <c r="D69" s="44" t="s">
        <v>2</v>
      </c>
      <c r="E69" s="163">
        <f>SUM('Таблица №10'!G167+'Таблица №10'!G197)-E70-E71-E72</f>
        <v>404.89735</v>
      </c>
      <c r="F69" s="163">
        <f>SUM('Таблица №10'!H167+'Таблица №10'!H197)-F70-F71-F72</f>
        <v>404.89735</v>
      </c>
      <c r="G69" s="163">
        <f t="shared" si="0"/>
        <v>100</v>
      </c>
    </row>
    <row r="70" spans="1:7" ht="62.25" customHeight="1">
      <c r="A70" s="85" t="s">
        <v>324</v>
      </c>
      <c r="B70" s="44" t="s">
        <v>220</v>
      </c>
      <c r="C70" s="44" t="s">
        <v>9</v>
      </c>
      <c r="D70" s="44" t="s">
        <v>6</v>
      </c>
      <c r="E70" s="163">
        <f>631.92+23.9568+165.6212</f>
        <v>821.498</v>
      </c>
      <c r="F70" s="163">
        <v>821.498</v>
      </c>
      <c r="G70" s="163">
        <f t="shared" si="0"/>
        <v>100</v>
      </c>
    </row>
    <row r="71" spans="1:7" ht="14.25" customHeight="1">
      <c r="A71" s="85" t="s">
        <v>365</v>
      </c>
      <c r="B71" s="44" t="s">
        <v>220</v>
      </c>
      <c r="C71" s="44" t="s">
        <v>9</v>
      </c>
      <c r="D71" s="44" t="s">
        <v>12</v>
      </c>
      <c r="E71" s="163">
        <f>11.50968+1.15097</f>
        <v>12.66065</v>
      </c>
      <c r="F71" s="163">
        <v>12.66065</v>
      </c>
      <c r="G71" s="163">
        <f t="shared" si="0"/>
        <v>100</v>
      </c>
    </row>
    <row r="72" spans="1:7" ht="14.25" customHeight="1">
      <c r="A72" s="85" t="s">
        <v>401</v>
      </c>
      <c r="B72" s="44" t="s">
        <v>220</v>
      </c>
      <c r="C72" s="44" t="s">
        <v>9</v>
      </c>
      <c r="D72" s="44" t="s">
        <v>12</v>
      </c>
      <c r="E72" s="163">
        <v>11.5</v>
      </c>
      <c r="F72" s="163">
        <v>11.5</v>
      </c>
      <c r="G72" s="163">
        <f>SUM(F72/E72)*100</f>
        <v>100</v>
      </c>
    </row>
    <row r="73" spans="1:7" ht="40.5" customHeight="1">
      <c r="A73" s="84" t="str">
        <f>'Таблица №10'!A78</f>
        <v>Муниципальная программа "Профилактика терроризма и экстремизма на территории Алексеевского муниципального района на 2019-2023 годы"</v>
      </c>
      <c r="B73" s="164" t="s">
        <v>200</v>
      </c>
      <c r="C73" s="164">
        <f>'Таблица №10'!E135</f>
        <v>0</v>
      </c>
      <c r="D73" s="164" t="s">
        <v>193</v>
      </c>
      <c r="E73" s="165">
        <f>SUM('Таблица №10'!G78)</f>
        <v>0</v>
      </c>
      <c r="F73" s="165">
        <f>SUM('Таблица №10'!H78)</f>
        <v>0</v>
      </c>
      <c r="G73" s="165">
        <v>0</v>
      </c>
    </row>
    <row r="74" spans="1:7" ht="36">
      <c r="A74" s="85" t="s">
        <v>212</v>
      </c>
      <c r="B74" s="44" t="s">
        <v>200</v>
      </c>
      <c r="C74" s="44" t="s">
        <v>9</v>
      </c>
      <c r="D74" s="44" t="s">
        <v>2</v>
      </c>
      <c r="E74" s="163">
        <f>SUM('Таблица №10'!G79)</f>
        <v>0</v>
      </c>
      <c r="F74" s="163">
        <f>SUM('Таблица №10'!H79)</f>
        <v>0</v>
      </c>
      <c r="G74" s="163">
        <v>0</v>
      </c>
    </row>
    <row r="75" spans="1:7" ht="12.75">
      <c r="A75" s="80" t="s">
        <v>97</v>
      </c>
      <c r="B75" s="44"/>
      <c r="C75" s="45"/>
      <c r="D75" s="168"/>
      <c r="E75" s="165">
        <f>SUM(E8+E10+E22+E26+E30+E45+E47+E49+E51+E53+E55+E59+E61+E68+E73+E39+E66+E41+E28+E20)</f>
        <v>67726.64344999999</v>
      </c>
      <c r="F75" s="165">
        <f>SUM(F8+F10+F22+F26+F30+F45+F47+F49+F51+F53+F55+F59+F61+F68+F73+F39+F66+F41+F28+F20)</f>
        <v>64562.6307</v>
      </c>
      <c r="G75" s="165">
        <f>SUM(F75/E75)*100</f>
        <v>95.3282599154115</v>
      </c>
    </row>
    <row r="76" spans="4:5" ht="15">
      <c r="D76" s="17"/>
      <c r="E76" s="224"/>
    </row>
    <row r="77" ht="15">
      <c r="D77" s="17"/>
    </row>
    <row r="78" spans="1:7" s="14" customFormat="1" ht="15">
      <c r="A78" s="7"/>
      <c r="B78" s="12"/>
      <c r="C78" s="13"/>
      <c r="D78" s="17"/>
      <c r="E78" s="2"/>
      <c r="F78" s="2"/>
      <c r="G78" s="2"/>
    </row>
    <row r="79" spans="1:7" s="14" customFormat="1" ht="15">
      <c r="A79" s="7"/>
      <c r="B79" s="12"/>
      <c r="C79" s="13"/>
      <c r="D79" s="17"/>
      <c r="E79" s="2"/>
      <c r="F79" s="2"/>
      <c r="G79" s="2"/>
    </row>
    <row r="80" ht="15">
      <c r="D80" s="17"/>
    </row>
    <row r="81" ht="15">
      <c r="D81" s="17"/>
    </row>
  </sheetData>
  <sheetProtection/>
  <mergeCells count="5">
    <mergeCell ref="E6:F6"/>
    <mergeCell ref="C1:G1"/>
    <mergeCell ref="C2:G2"/>
    <mergeCell ref="C3:G3"/>
    <mergeCell ref="A4:G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4"/>
  <sheetViews>
    <sheetView showGridLines="0" zoomScale="110" zoomScaleNormal="110" zoomScalePageLayoutView="0" workbookViewId="0" topLeftCell="A1">
      <pane ySplit="8" topLeftCell="A25" activePane="bottomLeft" state="frozen"/>
      <selection pane="topLeft" activeCell="A1" sqref="A1"/>
      <selection pane="bottomLeft" activeCell="G34" sqref="G34"/>
    </sheetView>
  </sheetViews>
  <sheetFormatPr defaultColWidth="9.140625" defaultRowHeight="12.75" outlineLevelRow="5"/>
  <cols>
    <col min="1" max="1" width="49.57421875" style="7" customWidth="1"/>
    <col min="2" max="2" width="3.8515625" style="12" customWidth="1"/>
    <col min="3" max="3" width="3.8515625" style="13" customWidth="1"/>
    <col min="4" max="4" width="4.421875" style="11" customWidth="1"/>
    <col min="5" max="5" width="11.421875" style="2" customWidth="1"/>
    <col min="6" max="6" width="11.7109375" style="2" customWidth="1"/>
    <col min="7" max="7" width="10.8515625" style="2" bestFit="1" customWidth="1"/>
    <col min="8" max="16384" width="9.140625" style="2" customWidth="1"/>
  </cols>
  <sheetData>
    <row r="1" spans="3:7" ht="16.5">
      <c r="C1" s="306" t="s">
        <v>245</v>
      </c>
      <c r="D1" s="306"/>
      <c r="E1" s="306"/>
      <c r="F1" s="306"/>
      <c r="G1" s="306"/>
    </row>
    <row r="2" spans="3:7" ht="16.5">
      <c r="C2" s="306" t="s">
        <v>121</v>
      </c>
      <c r="D2" s="306"/>
      <c r="E2" s="306"/>
      <c r="F2" s="306"/>
      <c r="G2" s="306"/>
    </row>
    <row r="3" spans="3:7" ht="16.5">
      <c r="C3" s="306" t="s">
        <v>122</v>
      </c>
      <c r="D3" s="306"/>
      <c r="E3" s="306"/>
      <c r="F3" s="306"/>
      <c r="G3" s="306"/>
    </row>
    <row r="4" spans="1:7" ht="21.75" customHeight="1">
      <c r="A4" s="8"/>
      <c r="B4" s="1"/>
      <c r="C4" s="306" t="s">
        <v>152</v>
      </c>
      <c r="D4" s="306"/>
      <c r="E4" s="306"/>
      <c r="F4" s="306"/>
      <c r="G4" s="306"/>
    </row>
    <row r="5" spans="1:7" ht="39.75" customHeight="1">
      <c r="A5" s="304" t="s">
        <v>387</v>
      </c>
      <c r="B5" s="304"/>
      <c r="C5" s="304"/>
      <c r="D5" s="304"/>
      <c r="E5" s="304"/>
      <c r="F5" s="304"/>
      <c r="G5" s="304"/>
    </row>
    <row r="6" spans="1:4" ht="12.75" hidden="1">
      <c r="A6" s="36"/>
      <c r="B6" s="37"/>
      <c r="C6" s="38"/>
      <c r="D6" s="39"/>
    </row>
    <row r="7" spans="1:7" ht="12.75">
      <c r="A7" s="36"/>
      <c r="B7" s="37"/>
      <c r="C7" s="38"/>
      <c r="D7" s="39"/>
      <c r="E7" s="309"/>
      <c r="F7" s="309"/>
      <c r="G7" s="197" t="s">
        <v>317</v>
      </c>
    </row>
    <row r="8" spans="1:7" ht="81" customHeight="1">
      <c r="A8" s="43" t="s">
        <v>1</v>
      </c>
      <c r="B8" s="275" t="s">
        <v>404</v>
      </c>
      <c r="C8" s="266" t="s">
        <v>8</v>
      </c>
      <c r="D8" s="274" t="s">
        <v>183</v>
      </c>
      <c r="E8" s="40" t="s">
        <v>297</v>
      </c>
      <c r="F8" s="40" t="s">
        <v>440</v>
      </c>
      <c r="G8" s="40" t="s">
        <v>439</v>
      </c>
    </row>
    <row r="9" spans="1:7" ht="51" customHeight="1" outlineLevel="5">
      <c r="A9" s="81" t="str">
        <f>'Таблица №10'!A80</f>
        <v>Ведомственная целевая программа "Материально-техническое, организационное обеспечение и хозяйственное обслуживание органов местного самоуправления и муниципальных учреждений Алексеевского муниципального района на 2022-2024 годы"</v>
      </c>
      <c r="B9" s="164" t="s">
        <v>14</v>
      </c>
      <c r="C9" s="164" t="s">
        <v>9</v>
      </c>
      <c r="D9" s="164"/>
      <c r="E9" s="297">
        <f>SUM(E10)</f>
        <v>52448.80883999999</v>
      </c>
      <c r="F9" s="297">
        <f>SUM(F10)</f>
        <v>52148.80883999999</v>
      </c>
      <c r="G9" s="165">
        <f aca="true" t="shared" si="0" ref="G9:G34">SUM(F9/E9)*100</f>
        <v>99.42801370205532</v>
      </c>
    </row>
    <row r="10" spans="1:7" ht="24.75" customHeight="1" outlineLevel="2">
      <c r="A10" s="80" t="str">
        <f>'Таблица №10'!A81</f>
        <v>Предоставление субсидий бюджетным, автономным учреждениям и иным некоммерческим организациям</v>
      </c>
      <c r="B10" s="44" t="s">
        <v>14</v>
      </c>
      <c r="C10" s="44" t="s">
        <v>9</v>
      </c>
      <c r="D10" s="44" t="s">
        <v>190</v>
      </c>
      <c r="E10" s="298">
        <f>SUM('Таблица №10'!G80+'Таблица №10'!G143)</f>
        <v>52448.80883999999</v>
      </c>
      <c r="F10" s="298">
        <f>SUM('Таблица №10'!H80+'Таблица №10'!H143)</f>
        <v>52148.80883999999</v>
      </c>
      <c r="G10" s="163">
        <f t="shared" si="0"/>
        <v>99.42801370205532</v>
      </c>
    </row>
    <row r="11" spans="1:7" ht="35.25" customHeight="1" outlineLevel="1">
      <c r="A11" s="81" t="str">
        <f>'Таблица №10'!A168</f>
        <v>Ведомственная целевая программа "Развитие дошкольного образования детей на территории Алексеевского муниципального района на 2022-2024 годы"</v>
      </c>
      <c r="B11" s="164" t="str">
        <f>'Таблица №10'!D168</f>
        <v>52</v>
      </c>
      <c r="C11" s="164">
        <f>'Таблица №10'!E168</f>
        <v>0</v>
      </c>
      <c r="D11" s="164"/>
      <c r="E11" s="297">
        <f>SUM(E12)</f>
        <v>24928.72756</v>
      </c>
      <c r="F11" s="297">
        <f>SUM(F12)</f>
        <v>24016.71782</v>
      </c>
      <c r="G11" s="165">
        <f t="shared" si="0"/>
        <v>96.3415311198499</v>
      </c>
    </row>
    <row r="12" spans="1:7" ht="27.75" customHeight="1" outlineLevel="1">
      <c r="A12" s="80" t="str">
        <f>'Таблица №10'!A169</f>
        <v>Предоставление субсидий бюджетным, автономным учреждениям и иным некоммерческим организациям</v>
      </c>
      <c r="B12" s="44" t="str">
        <f>'Таблица №10'!D169</f>
        <v>52</v>
      </c>
      <c r="C12" s="44">
        <f>'Таблица №10'!E169</f>
        <v>0</v>
      </c>
      <c r="D12" s="44" t="s">
        <v>190</v>
      </c>
      <c r="E12" s="298">
        <f>SUM('Таблица №10'!G168)</f>
        <v>24928.72756</v>
      </c>
      <c r="F12" s="298">
        <f>SUM('Таблица №10'!H168)</f>
        <v>24016.71782</v>
      </c>
      <c r="G12" s="163">
        <f t="shared" si="0"/>
        <v>96.3415311198499</v>
      </c>
    </row>
    <row r="13" spans="1:7" ht="36" outlineLevel="5">
      <c r="A13" s="81" t="str">
        <f>'Таблица №10'!A200</f>
        <v>Ведомственная целевая программа "Развитие образования детей на территории Алексеевского муниципального района на 2020-2022 годы"</v>
      </c>
      <c r="B13" s="164" t="str">
        <f>'Таблица №10'!D200</f>
        <v>53</v>
      </c>
      <c r="C13" s="164">
        <f>'Таблица №10'!E200</f>
        <v>0</v>
      </c>
      <c r="D13" s="164"/>
      <c r="E13" s="297">
        <f>SUM(E14+E16+E21)</f>
        <v>206836.22707</v>
      </c>
      <c r="F13" s="297">
        <f>SUM(F14+F16+F21)</f>
        <v>204712.71965</v>
      </c>
      <c r="G13" s="165">
        <f t="shared" si="0"/>
        <v>98.97333873756973</v>
      </c>
    </row>
    <row r="14" spans="1:7" ht="13.5" customHeight="1" outlineLevel="5">
      <c r="A14" s="81" t="str">
        <f>'Таблица №10'!A175</f>
        <v>Подпрограмма "Развитие дошкольного образования детей"</v>
      </c>
      <c r="B14" s="164" t="str">
        <f>'Таблица №10'!D201</f>
        <v>53</v>
      </c>
      <c r="C14" s="164" t="s">
        <v>196</v>
      </c>
      <c r="D14" s="164"/>
      <c r="E14" s="297">
        <f>SUM(E15)</f>
        <v>12333.31887</v>
      </c>
      <c r="F14" s="297">
        <f>SUM(F15)</f>
        <v>11945.11541</v>
      </c>
      <c r="G14" s="165">
        <f t="shared" si="0"/>
        <v>96.85240068718016</v>
      </c>
    </row>
    <row r="15" spans="1:7" ht="24" outlineLevel="5">
      <c r="A15" s="80" t="str">
        <f>'Таблица №10'!A178</f>
        <v>Предоставление субсидий бюджетным, автономным учреждениям и иным некоммерческим организациям</v>
      </c>
      <c r="B15" s="44" t="s">
        <v>20</v>
      </c>
      <c r="C15" s="44" t="s">
        <v>196</v>
      </c>
      <c r="D15" s="44" t="s">
        <v>9</v>
      </c>
      <c r="E15" s="298">
        <f>SUM('Таблица №10'!G174)</f>
        <v>12333.31887</v>
      </c>
      <c r="F15" s="298">
        <f>SUM('Таблица №10'!H174)</f>
        <v>11945.11541</v>
      </c>
      <c r="G15" s="163">
        <f t="shared" si="0"/>
        <v>96.85240068718016</v>
      </c>
    </row>
    <row r="16" spans="1:7" ht="15" customHeight="1" outlineLevel="5">
      <c r="A16" s="81" t="str">
        <f>'Таблица №10'!A201</f>
        <v>Подпрограмма "Развитие общего образования детей"</v>
      </c>
      <c r="B16" s="164" t="s">
        <v>20</v>
      </c>
      <c r="C16" s="164" t="s">
        <v>197</v>
      </c>
      <c r="D16" s="164"/>
      <c r="E16" s="297">
        <f>SUM(E17:E20)</f>
        <v>184225.20676</v>
      </c>
      <c r="F16" s="297">
        <f>SUM(F17:F20)</f>
        <v>182489.9028</v>
      </c>
      <c r="G16" s="165">
        <f t="shared" si="0"/>
        <v>99.05805291766579</v>
      </c>
    </row>
    <row r="17" spans="1:7" ht="49.5" customHeight="1" outlineLevel="5">
      <c r="A17" s="80" t="str">
        <f>'Таблица №10'!A203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" s="44" t="s">
        <v>20</v>
      </c>
      <c r="C17" s="44" t="s">
        <v>197</v>
      </c>
      <c r="D17" s="44" t="s">
        <v>188</v>
      </c>
      <c r="E17" s="298">
        <f>SUM('Таблица №10'!G203+'Таблица №10'!G210+'Таблица №10'!G211+'Таблица №10'!G212+'Таблица №10'!G249)</f>
        <v>5203.76672</v>
      </c>
      <c r="F17" s="298">
        <f>SUM('Таблица №10'!H203+'Таблица №10'!H210+'Таблица №10'!H211+'Таблица №10'!H212+'Таблица №10'!H249)</f>
        <v>5203.76672</v>
      </c>
      <c r="G17" s="163">
        <f t="shared" si="0"/>
        <v>100</v>
      </c>
    </row>
    <row r="18" spans="1:7" ht="26.25" customHeight="1" outlineLevel="5">
      <c r="A18" s="80" t="str">
        <f>'Таблица №10'!A204</f>
        <v>Закупка товаров, работ и услуг для государственных (муниципальных) нужд</v>
      </c>
      <c r="B18" s="44" t="s">
        <v>20</v>
      </c>
      <c r="C18" s="44" t="s">
        <v>197</v>
      </c>
      <c r="D18" s="44" t="s">
        <v>150</v>
      </c>
      <c r="E18" s="298">
        <f>SUM('Таблица №10'!G204+'Таблица №10'!G213+'Таблица №10'!G214+'Таблица №10'!G215+'Таблица №10'!G205)</f>
        <v>511.06075999999996</v>
      </c>
      <c r="F18" s="298">
        <f>SUM('Таблица №10'!H204+'Таблица №10'!H213+'Таблица №10'!H214+'Таблица №10'!H215+'Таблица №10'!H205)</f>
        <v>511.06075999999996</v>
      </c>
      <c r="G18" s="163">
        <f t="shared" si="0"/>
        <v>100</v>
      </c>
    </row>
    <row r="19" spans="1:7" ht="12.75" customHeight="1" outlineLevel="5">
      <c r="A19" s="80" t="str">
        <f>'Таблица №10'!A206</f>
        <v>Иные бюджетные ассигнования</v>
      </c>
      <c r="B19" s="44" t="s">
        <v>20</v>
      </c>
      <c r="C19" s="44" t="s">
        <v>197</v>
      </c>
      <c r="D19" s="44" t="s">
        <v>189</v>
      </c>
      <c r="E19" s="298">
        <f>SUM('Таблица №10'!G206)</f>
        <v>26.68771</v>
      </c>
      <c r="F19" s="298">
        <f>SUM('Таблица №10'!H206)</f>
        <v>26.68771</v>
      </c>
      <c r="G19" s="163">
        <f t="shared" si="0"/>
        <v>100</v>
      </c>
    </row>
    <row r="20" spans="1:7" ht="26.25" customHeight="1" outlineLevel="5">
      <c r="A20" s="80" t="str">
        <f>'Таблица №10'!A207</f>
        <v>Предоставление субсидий бюджетным, автономным учреждениям и иным некоммерческим организациям</v>
      </c>
      <c r="B20" s="44" t="s">
        <v>20</v>
      </c>
      <c r="C20" s="44" t="s">
        <v>197</v>
      </c>
      <c r="D20" s="44" t="s">
        <v>190</v>
      </c>
      <c r="E20" s="298">
        <f>SUM('Таблица №10'!G207+'Таблица №10'!G217+'Таблица №10'!G218+'Таблица №10'!G220+'Таблица №10'!G221+'Таблица №10'!G219+'Таблица №10'!G216+'Таблица №10'!G208+'Таблица №10'!G250)</f>
        <v>178483.69157</v>
      </c>
      <c r="F20" s="298">
        <f>SUM('Таблица №10'!H207+'Таблица №10'!H217+'Таблица №10'!H218+'Таблица №10'!H220+'Таблица №10'!H221+'Таблица №10'!H219+'Таблица №10'!H216+'Таблица №10'!H208+'Таблица №10'!H250)</f>
        <v>176748.38761</v>
      </c>
      <c r="G20" s="163">
        <f t="shared" si="0"/>
        <v>99.02775209054917</v>
      </c>
    </row>
    <row r="21" spans="1:7" ht="18.75" customHeight="1" outlineLevel="3">
      <c r="A21" s="81" t="str">
        <f>'Таблица №10'!A227</f>
        <v>Подпрограмма "Развитие дополнительного образования детей"</v>
      </c>
      <c r="B21" s="164" t="str">
        <f>'Таблица №10'!D226</f>
        <v>53</v>
      </c>
      <c r="C21" s="164" t="s">
        <v>198</v>
      </c>
      <c r="D21" s="164"/>
      <c r="E21" s="297">
        <f>SUM(E22:E23)</f>
        <v>10277.70144</v>
      </c>
      <c r="F21" s="297">
        <f>SUM(F22:F23)</f>
        <v>10277.70144</v>
      </c>
      <c r="G21" s="165">
        <f t="shared" si="0"/>
        <v>100</v>
      </c>
    </row>
    <row r="22" spans="1:7" ht="24.75" customHeight="1" outlineLevel="3">
      <c r="A22" s="80" t="str">
        <f>'Таблица №10'!A228</f>
        <v>Предоставление субсидий бюджетным, автономным учреждениям и иным некоммерческим организациям (ДШИ)</v>
      </c>
      <c r="B22" s="44" t="str">
        <f>'Таблица №10'!D228</f>
        <v>53</v>
      </c>
      <c r="C22" s="44">
        <f>'Таблица №10'!E228</f>
        <v>3</v>
      </c>
      <c r="D22" s="48">
        <f>'Таблица №10'!F228</f>
        <v>600</v>
      </c>
      <c r="E22" s="298">
        <f>'Таблица №10'!G228</f>
        <v>5519.99378</v>
      </c>
      <c r="F22" s="298">
        <f>'Таблица №10'!H228</f>
        <v>5519.99378</v>
      </c>
      <c r="G22" s="163">
        <f t="shared" si="0"/>
        <v>100</v>
      </c>
    </row>
    <row r="23" spans="1:7" ht="23.25" customHeight="1" outlineLevel="3">
      <c r="A23" s="80" t="str">
        <f>'Таблица №10'!A229</f>
        <v>Предоставление субсидий бюджетным, автономным учреждениям и иным некоммерческим организациям (ДЮСШ)</v>
      </c>
      <c r="B23" s="44" t="str">
        <f>'Таблица №10'!D229</f>
        <v>53</v>
      </c>
      <c r="C23" s="44">
        <f>'Таблица №10'!E229</f>
        <v>3</v>
      </c>
      <c r="D23" s="48">
        <f>'Таблица №10'!F229</f>
        <v>600</v>
      </c>
      <c r="E23" s="298">
        <f>'Таблица №10'!G229</f>
        <v>4757.70766</v>
      </c>
      <c r="F23" s="298">
        <f>'Таблица №10'!H229</f>
        <v>4757.70766</v>
      </c>
      <c r="G23" s="163">
        <f t="shared" si="0"/>
        <v>100</v>
      </c>
    </row>
    <row r="24" spans="1:7" ht="36" outlineLevel="3">
      <c r="A24" s="82" t="str">
        <f>'Таблица №10'!A240</f>
        <v>Ведомственная целевая программа "Молодежная политика на территории Алексеевского муниципального района на 2022-2024 годы" (СДЦ)</v>
      </c>
      <c r="B24" s="164" t="str">
        <f>'Таблица №10'!D240</f>
        <v>56</v>
      </c>
      <c r="C24" s="164">
        <f>'Таблица №10'!E240</f>
        <v>0</v>
      </c>
      <c r="D24" s="164"/>
      <c r="E24" s="297">
        <f>SUM(E25)</f>
        <v>4247.73225</v>
      </c>
      <c r="F24" s="297">
        <f>SUM(F25)</f>
        <v>4247.73225</v>
      </c>
      <c r="G24" s="165">
        <f t="shared" si="0"/>
        <v>100</v>
      </c>
    </row>
    <row r="25" spans="1:7" ht="24" outlineLevel="3">
      <c r="A25" s="79" t="str">
        <f>'Таблица №10'!A241</f>
        <v>Предоставление субсидий бюджетным, автономным учреждениям и иным некоммерческим организациям</v>
      </c>
      <c r="B25" s="44" t="str">
        <f>'Таблица №10'!D241</f>
        <v>56</v>
      </c>
      <c r="C25" s="44">
        <f>'Таблица №10'!E241</f>
        <v>0</v>
      </c>
      <c r="D25" s="44">
        <f>'Таблица №10'!F241</f>
        <v>600</v>
      </c>
      <c r="E25" s="298">
        <f>SUM('Таблица №10'!G240)</f>
        <v>4247.73225</v>
      </c>
      <c r="F25" s="298">
        <f>SUM('Таблица №10'!H240)</f>
        <v>4247.73225</v>
      </c>
      <c r="G25" s="163">
        <f t="shared" si="0"/>
        <v>100</v>
      </c>
    </row>
    <row r="26" spans="1:7" ht="48" outlineLevel="3">
      <c r="A26" s="82" t="str">
        <f>'Таблица №10'!A251</f>
        <v>Ведомственная целевая программа "Организация деятельности МКОУ «Методический центр в системе дополнительного педагогического образования (повышение квалификации)» на 2022-2024 годы" </v>
      </c>
      <c r="B26" s="164" t="str">
        <f>'Таблица №10'!D251</f>
        <v>58</v>
      </c>
      <c r="C26" s="164">
        <f>'Таблица №10'!E251</f>
        <v>0</v>
      </c>
      <c r="D26" s="164"/>
      <c r="E26" s="297">
        <f>SUM(E27:E29)</f>
        <v>1524.66876</v>
      </c>
      <c r="F26" s="297">
        <f>SUM(F27:F29)</f>
        <v>1524.66876</v>
      </c>
      <c r="G26" s="165">
        <f t="shared" si="0"/>
        <v>100</v>
      </c>
    </row>
    <row r="27" spans="1:7" ht="48" outlineLevel="3">
      <c r="A27" s="79" t="str">
        <f>'Таблица №10'!A252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" s="44" t="s">
        <v>22</v>
      </c>
      <c r="C27" s="44" t="s">
        <v>9</v>
      </c>
      <c r="D27" s="44" t="s">
        <v>188</v>
      </c>
      <c r="E27" s="298">
        <f>SUM('Таблица №10'!G252)</f>
        <v>1524.66876</v>
      </c>
      <c r="F27" s="298">
        <f>SUM('Таблица №10'!H252)</f>
        <v>1524.66876</v>
      </c>
      <c r="G27" s="163">
        <f t="shared" si="0"/>
        <v>100</v>
      </c>
    </row>
    <row r="28" spans="1:7" ht="24" outlineLevel="3">
      <c r="A28" s="79" t="str">
        <f>'Таблица №10'!A253</f>
        <v>Закупка товаров, работ и услуг для государственных (муниципальных) нужд</v>
      </c>
      <c r="B28" s="44" t="s">
        <v>22</v>
      </c>
      <c r="C28" s="44" t="s">
        <v>9</v>
      </c>
      <c r="D28" s="44" t="s">
        <v>150</v>
      </c>
      <c r="E28" s="298">
        <f>SUM('Таблица №10'!G253)</f>
        <v>0</v>
      </c>
      <c r="F28" s="298">
        <f>SUM('Таблица №10'!H253)</f>
        <v>0</v>
      </c>
      <c r="G28" s="163">
        <v>0</v>
      </c>
    </row>
    <row r="29" spans="1:7" ht="12.75" outlineLevel="3">
      <c r="A29" s="79" t="str">
        <f>'Таблица №10'!A254</f>
        <v>Иные бюджетные ассигнования</v>
      </c>
      <c r="B29" s="44" t="s">
        <v>22</v>
      </c>
      <c r="C29" s="44" t="s">
        <v>9</v>
      </c>
      <c r="D29" s="44" t="s">
        <v>189</v>
      </c>
      <c r="E29" s="298">
        <f>SUM('Таблица №10'!G254)</f>
        <v>0</v>
      </c>
      <c r="F29" s="298">
        <f>SUM('Таблица №10'!H254)</f>
        <v>0</v>
      </c>
      <c r="G29" s="163">
        <v>0</v>
      </c>
    </row>
    <row r="30" spans="1:7" ht="36" outlineLevel="5">
      <c r="A30" s="82" t="str">
        <f>'Таблица №10'!A266</f>
        <v>Ведомственная целевая программа "Развитие культуры и искусства в Алексеевском муниципальном районе на 2022-2024 годы"</v>
      </c>
      <c r="B30" s="164" t="str">
        <f>'Таблица №10'!D266</f>
        <v>59</v>
      </c>
      <c r="C30" s="164">
        <f>'Таблица №10'!E266</f>
        <v>0</v>
      </c>
      <c r="D30" s="164"/>
      <c r="E30" s="297">
        <f>SUM(E31)</f>
        <v>13193.07914</v>
      </c>
      <c r="F30" s="297">
        <f>SUM(F31)</f>
        <v>13193.07914</v>
      </c>
      <c r="G30" s="165">
        <f t="shared" si="0"/>
        <v>100</v>
      </c>
    </row>
    <row r="31" spans="1:7" ht="24" outlineLevel="5">
      <c r="A31" s="79" t="str">
        <f>'Таблица №10'!A268</f>
        <v>Предоставление субсидий бюджетным, автономным учреждениям и иным некоммерческим организациям</v>
      </c>
      <c r="B31" s="44" t="s">
        <v>23</v>
      </c>
      <c r="C31" s="44" t="s">
        <v>9</v>
      </c>
      <c r="D31" s="44" t="s">
        <v>190</v>
      </c>
      <c r="E31" s="298">
        <f>SUM('Таблица №10'!G266)</f>
        <v>13193.07914</v>
      </c>
      <c r="F31" s="298">
        <f>SUM('Таблица №10'!H266)</f>
        <v>13193.07914</v>
      </c>
      <c r="G31" s="163">
        <f t="shared" si="0"/>
        <v>100</v>
      </c>
    </row>
    <row r="32" spans="1:7" ht="36">
      <c r="A32" s="81" t="str">
        <f>'Таблица №10'!A332</f>
        <v>Ведомственная целевая программа "Поддержка средств массовой информации в Алексеевском муниципальном районе на 2022-2024 годы"</v>
      </c>
      <c r="B32" s="164" t="str">
        <f>'Таблица №10'!D332</f>
        <v>61</v>
      </c>
      <c r="C32" s="164">
        <f>'Таблица №10'!E332</f>
        <v>0</v>
      </c>
      <c r="D32" s="164"/>
      <c r="E32" s="297">
        <f>SUM(E33)</f>
        <v>2432.9</v>
      </c>
      <c r="F32" s="297">
        <f>SUM(F33)</f>
        <v>2432.9</v>
      </c>
      <c r="G32" s="165">
        <f t="shared" si="0"/>
        <v>100</v>
      </c>
    </row>
    <row r="33" spans="1:7" ht="24">
      <c r="A33" s="80" t="str">
        <f>'Таблица №10'!A333</f>
        <v>Предоставление субсидий бюджетным, автономным учреждениям и иным некоммерческим организациям</v>
      </c>
      <c r="B33" s="44" t="str">
        <f>'Таблица №10'!D333</f>
        <v>61</v>
      </c>
      <c r="C33" s="44">
        <f>'Таблица №10'!E333</f>
        <v>0</v>
      </c>
      <c r="D33" s="44">
        <f>'Таблица №10'!F333</f>
        <v>600</v>
      </c>
      <c r="E33" s="298">
        <f>'Таблица №10'!G332</f>
        <v>2432.9</v>
      </c>
      <c r="F33" s="298">
        <f>'Таблица №10'!H332</f>
        <v>2432.9</v>
      </c>
      <c r="G33" s="163">
        <f t="shared" si="0"/>
        <v>100</v>
      </c>
    </row>
    <row r="34" spans="1:7" ht="12.75">
      <c r="A34" s="81" t="s">
        <v>97</v>
      </c>
      <c r="B34" s="164"/>
      <c r="C34" s="166"/>
      <c r="D34" s="167"/>
      <c r="E34" s="297">
        <f>SUM(E9+E11+E13+E24+E26+E30+E32)</f>
        <v>305612.14362</v>
      </c>
      <c r="F34" s="297">
        <f>SUM(F9+F11+F13+F24+F26+F30+F32)</f>
        <v>302276.62646</v>
      </c>
      <c r="G34" s="165">
        <f t="shared" si="0"/>
        <v>98.90857833053015</v>
      </c>
    </row>
    <row r="35" ht="15">
      <c r="D35" s="17"/>
    </row>
    <row r="36" ht="15">
      <c r="D36" s="17"/>
    </row>
    <row r="37" ht="15">
      <c r="D37" s="17"/>
    </row>
    <row r="38" ht="15">
      <c r="D38" s="17"/>
    </row>
    <row r="39" ht="15">
      <c r="D39" s="17"/>
    </row>
    <row r="40" ht="15">
      <c r="D40" s="17"/>
    </row>
    <row r="41" ht="15">
      <c r="D41" s="17"/>
    </row>
    <row r="42" ht="15">
      <c r="D42" s="17"/>
    </row>
    <row r="43" spans="1:7" s="14" customFormat="1" ht="15">
      <c r="A43" s="7"/>
      <c r="B43" s="12"/>
      <c r="C43" s="13"/>
      <c r="D43" s="17"/>
      <c r="E43" s="2"/>
      <c r="F43" s="2"/>
      <c r="G43" s="2"/>
    </row>
    <row r="44" spans="1:7" s="14" customFormat="1" ht="15">
      <c r="A44" s="7"/>
      <c r="B44" s="12"/>
      <c r="C44" s="13"/>
      <c r="D44" s="17"/>
      <c r="E44" s="2"/>
      <c r="F44" s="2"/>
      <c r="G44" s="2"/>
    </row>
  </sheetData>
  <sheetProtection/>
  <mergeCells count="6">
    <mergeCell ref="E7:F7"/>
    <mergeCell ref="C1:G1"/>
    <mergeCell ref="C2:G2"/>
    <mergeCell ref="C3:G3"/>
    <mergeCell ref="C4:G4"/>
    <mergeCell ref="A5:G5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D13" sqref="D13"/>
    </sheetView>
  </sheetViews>
  <sheetFormatPr defaultColWidth="9.140625" defaultRowHeight="12.75" customHeight="1"/>
  <cols>
    <col min="1" max="2" width="10.28125" style="258" customWidth="1"/>
    <col min="3" max="3" width="20.7109375" style="258" customWidth="1"/>
    <col min="4" max="4" width="30.7109375" style="258" customWidth="1"/>
    <col min="5" max="6" width="10.28125" style="258" customWidth="1"/>
    <col min="7" max="7" width="15.421875" style="258" customWidth="1"/>
    <col min="8" max="16384" width="9.140625" style="258" customWidth="1"/>
  </cols>
  <sheetData>
    <row r="1" spans="1:7" ht="12.75">
      <c r="A1" s="310" t="s">
        <v>423</v>
      </c>
      <c r="B1" s="310"/>
      <c r="C1" s="310"/>
      <c r="D1" s="310"/>
      <c r="E1" s="310"/>
      <c r="F1" s="310"/>
      <c r="G1" s="262"/>
    </row>
    <row r="2" spans="1:7" ht="12.75">
      <c r="A2" s="282" t="s">
        <v>422</v>
      </c>
      <c r="B2" s="262"/>
      <c r="C2" s="262"/>
      <c r="D2" s="262"/>
      <c r="E2" s="262"/>
      <c r="F2" s="262"/>
      <c r="G2" s="262"/>
    </row>
    <row r="3" spans="1:7" ht="14.25">
      <c r="A3" s="265"/>
      <c r="B3" s="263"/>
      <c r="C3" s="263"/>
      <c r="D3" s="263"/>
      <c r="E3" s="263"/>
      <c r="F3" s="263"/>
      <c r="G3" s="263"/>
    </row>
    <row r="4" spans="1:7" ht="14.25">
      <c r="A4" s="265" t="s">
        <v>421</v>
      </c>
      <c r="B4" s="263"/>
      <c r="C4" s="263"/>
      <c r="D4" s="263"/>
      <c r="E4" s="264"/>
      <c r="F4" s="263"/>
      <c r="G4" s="264"/>
    </row>
    <row r="5" spans="1:7" ht="12.75">
      <c r="A5" s="262" t="s">
        <v>420</v>
      </c>
      <c r="B5" s="262"/>
      <c r="C5" s="262"/>
      <c r="D5" s="262"/>
      <c r="E5" s="262"/>
      <c r="F5" s="262"/>
      <c r="G5" s="262"/>
    </row>
    <row r="6" spans="1:7" ht="12.75">
      <c r="A6" s="311"/>
      <c r="B6" s="312"/>
      <c r="C6" s="312"/>
      <c r="D6" s="312"/>
      <c r="E6" s="312"/>
      <c r="F6" s="312"/>
      <c r="G6" s="312"/>
    </row>
    <row r="7" spans="1:7" ht="12.75">
      <c r="A7" s="311" t="s">
        <v>419</v>
      </c>
      <c r="B7" s="312"/>
      <c r="C7" s="312"/>
      <c r="D7" s="312"/>
      <c r="E7" s="312"/>
      <c r="F7" s="312"/>
      <c r="G7" s="312"/>
    </row>
    <row r="8" spans="1:7" ht="12.75">
      <c r="A8" s="311" t="s">
        <v>418</v>
      </c>
      <c r="B8" s="312"/>
      <c r="C8" s="312"/>
      <c r="D8" s="312"/>
      <c r="E8" s="312"/>
      <c r="F8" s="312"/>
      <c r="G8" s="312"/>
    </row>
    <row r="9" spans="1:7" ht="12.75">
      <c r="A9" s="311" t="s">
        <v>417</v>
      </c>
      <c r="B9" s="312"/>
      <c r="C9" s="312"/>
      <c r="D9" s="312"/>
      <c r="E9" s="312"/>
      <c r="F9" s="312"/>
      <c r="G9" s="312"/>
    </row>
    <row r="10" spans="1:7" ht="12.75">
      <c r="A10" s="311"/>
      <c r="B10" s="312"/>
      <c r="C10" s="312"/>
      <c r="D10" s="312"/>
      <c r="E10" s="312"/>
      <c r="F10" s="312"/>
      <c r="G10" s="312"/>
    </row>
    <row r="11" spans="1:7" ht="12.75">
      <c r="A11" s="281" t="s">
        <v>416</v>
      </c>
      <c r="B11" s="281"/>
      <c r="C11" s="281"/>
      <c r="D11" s="281"/>
      <c r="E11" s="281"/>
      <c r="F11" s="281"/>
      <c r="G11" s="281"/>
    </row>
    <row r="12" spans="1:7" ht="21">
      <c r="A12" s="261" t="s">
        <v>397</v>
      </c>
      <c r="B12" s="261" t="s">
        <v>396</v>
      </c>
      <c r="C12" s="261" t="s">
        <v>395</v>
      </c>
      <c r="D12" s="261" t="s">
        <v>415</v>
      </c>
      <c r="E12" s="261" t="s">
        <v>394</v>
      </c>
      <c r="F12" s="261" t="s">
        <v>393</v>
      </c>
      <c r="G12" s="261" t="s">
        <v>392</v>
      </c>
    </row>
    <row r="13" spans="1:7" ht="78.75">
      <c r="A13" s="260" t="s">
        <v>39</v>
      </c>
      <c r="B13" s="260" t="s">
        <v>424</v>
      </c>
      <c r="C13" s="260" t="s">
        <v>414</v>
      </c>
      <c r="D13" s="280" t="s">
        <v>413</v>
      </c>
      <c r="E13" s="260" t="s">
        <v>412</v>
      </c>
      <c r="F13" s="260" t="s">
        <v>411</v>
      </c>
      <c r="G13" s="259">
        <v>260000</v>
      </c>
    </row>
  </sheetData>
  <sheetProtection/>
  <mergeCells count="6">
    <mergeCell ref="A1:F1"/>
    <mergeCell ref="A6:G6"/>
    <mergeCell ref="A7:G7"/>
    <mergeCell ref="A8:G8"/>
    <mergeCell ref="A9:G9"/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2023-03-17T06:15:31Z</cp:lastPrinted>
  <dcterms:created xsi:type="dcterms:W3CDTF">2002-03-11T10:22:12Z</dcterms:created>
  <dcterms:modified xsi:type="dcterms:W3CDTF">2023-06-08T08:48:38Z</dcterms:modified>
  <cp:category/>
  <cp:version/>
  <cp:contentType/>
  <cp:contentStatus/>
</cp:coreProperties>
</file>