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05" windowWidth="15480" windowHeight="11640" activeTab="0"/>
  </bookViews>
  <sheets>
    <sheet name="Приложение 2" sheetId="1" r:id="rId1"/>
    <sheet name="Приложение 3" sheetId="2" state="hidden" r:id="rId2"/>
    <sheet name="Таблица №6" sheetId="3" state="hidden" r:id="rId3"/>
    <sheet name="Таблица №10" sheetId="4" state="hidden" r:id="rId4"/>
  </sheets>
  <externalReferences>
    <externalReference r:id="rId7"/>
  </externalReferences>
  <definedNames>
    <definedName name="APPT" localSheetId="1">'Приложение 3'!#REF!</definedName>
    <definedName name="APPT" localSheetId="3">'Таблица №10'!#REF!</definedName>
    <definedName name="APPT" localSheetId="2">'Таблица №6'!#REF!</definedName>
    <definedName name="FIO" localSheetId="1">'Приложение 3'!#REF!</definedName>
    <definedName name="FIO" localSheetId="3">'Таблица №10'!#REF!</definedName>
    <definedName name="FIO" localSheetId="2">'Таблица №6'!#REF!</definedName>
    <definedName name="SIGN" localSheetId="1">'Приложение 3'!$A$22:$E$23</definedName>
    <definedName name="SIGN" localSheetId="3">'Таблица №10'!#REF!</definedName>
    <definedName name="SIGN" localSheetId="2">'Таблица №6'!#REF!</definedName>
    <definedName name="_xlnm.Print_Area" localSheetId="3">'Таблица №10'!$A$1:$H$102</definedName>
  </definedNames>
  <calcPr fullCalcOnLoad="1"/>
</workbook>
</file>

<file path=xl/sharedStrings.xml><?xml version="1.0" encoding="utf-8"?>
<sst xmlns="http://schemas.openxmlformats.org/spreadsheetml/2006/main" count="1826" uniqueCount="373">
  <si>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</si>
  <si>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</si>
  <si>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</si>
  <si>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</si>
  <si>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</si>
  <si>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</si>
  <si>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</si>
  <si>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</si>
  <si>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</si>
  <si>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</si>
  <si>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</si>
  <si>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</si>
  <si>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</si>
  <si>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</si>
  <si>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</si>
  <si>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</si>
  <si>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</si>
  <si>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</si>
  <si>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</si>
  <si>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</si>
  <si>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</si>
  <si>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</si>
  <si>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</si>
  <si>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</si>
  <si>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</si>
  <si>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</si>
  <si>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</si>
  <si>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</si>
  <si>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</si>
  <si>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</si>
  <si>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</si>
  <si>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</si>
  <si>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</si>
  <si>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</si>
  <si>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</si>
  <si>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</si>
  <si>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</si>
  <si>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</si>
  <si>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</si>
  <si>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</si>
  <si>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</si>
  <si>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</si>
  <si>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</si>
  <si>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</si>
  <si>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</si>
  <si>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</si>
  <si>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</si>
  <si>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</si>
  <si>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</si>
  <si>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</si>
  <si>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</si>
  <si>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</si>
  <si>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</si>
  <si>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</si>
  <si>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</si>
  <si>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</si>
  <si>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</si>
  <si>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</si>
  <si>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</si>
  <si>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</si>
  <si>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</si>
  <si>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</si>
  <si>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</si>
  <si>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</si>
  <si>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</si>
  <si>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</si>
  <si>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</si>
  <si>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</si>
  <si>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</si>
  <si>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</si>
  <si>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</si>
  <si>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</si>
  <si>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</si>
  <si>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</si>
  <si>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</si>
  <si>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</si>
  <si>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</si>
  <si>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</si>
  <si>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</si>
  <si>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</si>
  <si>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</si>
  <si>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</si>
  <si>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</si>
  <si>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</si>
  <si>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</si>
  <si>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</si>
  <si>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</si>
  <si>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</si>
  <si>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</si>
  <si>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</si>
  <si>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</si>
  <si>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</si>
  <si>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</si>
  <si>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</si>
  <si>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</si>
  <si>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</si>
  <si>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</si>
  <si>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</si>
  <si>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</si>
  <si>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</si>
  <si>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</si>
  <si>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</si>
  <si>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</si>
  <si>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</si>
  <si>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</si>
  <si>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</si>
  <si>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</si>
  <si>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</si>
  <si>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</si>
  <si>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</si>
  <si>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</si>
  <si>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</si>
  <si>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</si>
  <si>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</si>
  <si>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</si>
  <si>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</si>
  <si>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</si>
  <si>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</si>
  <si>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</si>
  <si>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</si>
  <si>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</si>
  <si>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</si>
  <si>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</si>
  <si>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</si>
  <si>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</si>
  <si>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</si>
  <si>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</si>
  <si>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</si>
  <si>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</si>
  <si>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</si>
  <si>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</si>
  <si>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</si>
  <si>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</si>
  <si>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</si>
  <si>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</si>
  <si>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</si>
  <si>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</si>
  <si>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</si>
  <si>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</si>
  <si>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</si>
  <si>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</si>
  <si>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</si>
  <si>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</si>
  <si>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</si>
  <si>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</si>
  <si>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</si>
  <si>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</si>
  <si>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</si>
  <si>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</si>
  <si>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</si>
  <si>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</si>
  <si>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</si>
  <si>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</si>
  <si>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</si>
  <si>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</si>
  <si>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</si>
  <si>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</si>
  <si>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</si>
  <si>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</si>
  <si>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</si>
  <si>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</si>
  <si>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</si>
  <si>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</si>
  <si>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</si>
  <si>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</si>
  <si>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</si>
  <si>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</si>
  <si>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</si>
  <si>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</si>
  <si>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2024 год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</si>
  <si>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</si>
  <si>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</si>
  <si>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</si>
  <si>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</si>
  <si>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</si>
  <si>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</si>
  <si>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</si>
  <si>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Резервный фонд Администрации Волгоградской области</t>
  </si>
  <si>
    <t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t>
  </si>
  <si>
    <t>Основное мероприятие " Мероприятия по контролю за проведением поисковой работы"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</si>
  <si>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</si>
  <si>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Закупка товаров, работ и услуг для государственных (муниципальных) нужд (софинансирование)</t>
  </si>
  <si>
    <t>Основное мероприятие "Обеспечение комплексного развития сельских территорий"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</si>
  <si>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</si>
  <si>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t>
  </si>
  <si>
    <t>Периодическая печать и издательства</t>
  </si>
  <si>
    <t>Обслуживание государственного (муниципального долга)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</si>
  <si>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</si>
  <si>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</si>
  <si>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долга</t>
  </si>
  <si>
    <t>Муниципальная программа "Развитие образования детей на территории Алексеевского муниципального района на 2023-2025 годы"</t>
  </si>
  <si>
    <t>Содержание на территории муниципального района межпоселенческих мест захоронения, организация ритуальных услуг</t>
  </si>
  <si>
    <t>Основное мероприятие "Благоустройство сельских территорий"</t>
  </si>
  <si>
    <t>Таблица №10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</si>
  <si>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бюджетирования)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</si>
  <si>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t>
  </si>
  <si>
    <t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</si>
  <si>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</si>
  <si>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t>
  </si>
  <si>
    <t>Субсидия на развитие транспортной инфраструктуры на сельских территориях</t>
  </si>
  <si>
    <t>Предоставление субсидий бюджетным, автономным учреждениям и иным некоммерческим организациям (Реализация мероприятий по модернизации школьных систем софинансирование)</t>
  </si>
  <si>
    <t>Муниципальная программа "Маршрут Победы на 2024-2026 годы"</t>
  </si>
  <si>
    <t>Распределение бюджетных ассигнований на реализацию муниципальных программ на 2024 год и плановый период 2025-2026 годы</t>
  </si>
  <si>
    <t>Муниципальная программа "Развитие муниципальной службы в администрации Алексеевского муниципального района Волгоградской области на 2024-2026 годы"</t>
  </si>
  <si>
    <t>Распределение бюджетных ассигнований по разделам и подразделам, целевым статьям и видам расходов районного бюджета на 2024 год и плановый период 2025-2026 годов</t>
  </si>
  <si>
    <t>Муниципальная программа "Профилактика терроризма и экстремизма на территории Алексеевского муниципального района на 2024-2026 годы"</t>
  </si>
  <si>
    <t>Муниципальная программа "Охрана окружающей среды Алексеевского муниципального района на 2024-2026 годы"</t>
  </si>
  <si>
    <t xml:space="preserve">Муниципальная программа "Организация деятельности МКОУ «Методический центр в системе дополнительного педагогического образования (повышение квалификации)» на 2024-2026 годы" </t>
  </si>
  <si>
    <t>Муниципальная программа "Развитие народных художественных промыслов Алексеевского муниципального района на 2024-2026 годы"</t>
  </si>
  <si>
    <t>Муниципальная программа "О поддержке деятельности казачьих обществ Алексеевского муниципального района на 2024-2026 годы"</t>
  </si>
  <si>
    <t>Муниципальная программа "Развитие культуры и искусства в Алексеевском муниципальном районе на 2024-2026 годы"</t>
  </si>
  <si>
    <t>Муниципальная программа "Развитие физической культуры и спорта в Алексеевском муниципальном районе на 2024-2026 годы"</t>
  </si>
  <si>
    <t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t>
  </si>
  <si>
    <t>Муниципальная программа "Развитие дошкольного образования детей на территории Алексеевского муниципального района на 2024-2026 годы"</t>
  </si>
  <si>
    <t>Муниципальная программа "Молодежная политика на территории Алексеевского муниципального района на 2024-2026 годы" (СДЦ)</t>
  </si>
  <si>
    <t>Муниципальная программа "Поддержка средств массовой информации в Алексеевском муниципальном районе на 2024-2026 годы"</t>
  </si>
  <si>
    <t>Муниципальная программа "Развитие и поддержка малого предпринимательства Алексеевского муниципального района на 2024-2028 годы "</t>
  </si>
  <si>
    <t>Основное мероприятие "Ликвидация мест несанкционированного размещения отходов"</t>
  </si>
  <si>
    <t>Закупка товаров, работ и услуг для государственных (муниципальных) нужд (софинансирование на обеспечение бесплатным горячим питанием категорий обучающихся по образовательным программам общего образования в муниципальных образовательных организациях, определенных частью 2 статьи 46 Социального кодекса Волгоградской области)</t>
  </si>
  <si>
    <t>Предоставление субсидий бюджетным, автономным учреждениям и иным некоммерческим организациям (софинансирование на обеспечение бесплатным горячим питанием категорий обучающихся по образовательным программам общего образования в муниципальных образовательных организациях, определенных частью 2 статьи 46 Социального кодекса Волгоградской области)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</si>
  <si>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2024-2026 годы"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</si>
  <si>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</si>
  <si>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</si>
  <si>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Обслуживание государственного (муниципального) внутреннего долга</t>
  </si>
  <si>
    <t>Основное мероприятие "Развитие транспортной инфраструктуры на сельских территориях"</t>
  </si>
  <si>
    <t>06</t>
  </si>
  <si>
    <t>Муниципальная программа "Молодой семье – доступное жилье на территории Алексеевского муниципального района на 2022-2024 годы"</t>
  </si>
  <si>
    <t>Основное мероприятие "Предоставление молодым семьям-участникам Программы социальных выплат на приобретение (строительство) жилья"</t>
  </si>
  <si>
    <t>Предоставление субсидий бюджетным, автономным учреждениям и иным некоммерческим организациям (на обеспечение бесплатным горячим питанием категорий обучающихся по образовательным программам общего образования в муниципальных образовательных организациях, определенных частью 2 статьи 46 Социального кодекса Волгоградской области)</t>
  </si>
  <si>
    <t>Предоставление субсидий бюджетным, автономным учреждениям и иным некоммерческим организациям (софинансирование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Волгоградской области)</t>
  </si>
  <si>
    <t>Предоставление субсидий бюджетным, автономным учреждениям и иным некоммерческим организациям (субсидия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Волгоградской области)</t>
  </si>
  <si>
    <t>Предоставление субсидий бюджетным, автономным учреждениям и иным некоммерческим организациям (В сфере управления БПЛА)</t>
  </si>
  <si>
    <t>Предоставление субсидий бюджетным, автономным учреждениям и иным некоммерческим организациям (В сфере управления БПЛА софинансирование)</t>
  </si>
  <si>
    <t>Предоставление субсидий бюджетным, автономным учреждениям и иным некоммерческим организациям (Проект местных инициативы "Современные технологии в детской школе искусств")</t>
  </si>
  <si>
    <t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по контролю за проведением поисковой работы на территории Волгоградской области)</t>
  </si>
  <si>
    <t>Проведение кадастровых работ в отношении земельных участков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</si>
  <si>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возмещение расходов на проведение кадастровых работ в отношение земельных участков)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</si>
  <si>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также, в возмещении части арендной платы за жилье молодым специалистам, работающим в Алексеевском муниципальном районе 2024-2026 годы"</t>
  </si>
  <si>
    <t xml:space="preserve"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по увековечению памяти погибших при защите Отечества на территории Волгоградской области </t>
  </si>
  <si>
    <t>Основное мероприятие "Проведение комплексных кадастровых работ"</t>
  </si>
  <si>
    <t>% исполнения</t>
  </si>
  <si>
    <t>Исполнено на 01.04.2024 г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</si>
  <si>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</si>
  <si>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</si>
  <si>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</si>
  <si>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"__"__________2024 г.№________</t>
  </si>
  <si>
    <t>Распределение бюджетных ассигнований по разделам и по подразделам классификации расходов районного бюджета на 01.04.2024 года</t>
  </si>
  <si>
    <t>Приложение №3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</si>
  <si>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2024 год </t>
  </si>
  <si>
    <t xml:space="preserve"> </t>
  </si>
  <si>
    <t>Приложение 2</t>
  </si>
  <si>
    <t>УТВЕРЖДЕНО</t>
  </si>
  <si>
    <t>от 06.05.2024 № 235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</si>
  <si>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</si>
  <si>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</si>
  <si>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</si>
  <si>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</si>
  <si>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</si>
  <si>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</si>
  <si>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</si>
  <si>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</si>
  <si>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</si>
  <si>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</si>
  <si>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</si>
  <si>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</si>
  <si>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</si>
  <si>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</si>
  <si>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</si>
  <si>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</si>
  <si>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</si>
  <si>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</si>
  <si>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</si>
  <si>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</si>
  <si>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</si>
  <si>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</si>
  <si>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</si>
  <si>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</si>
  <si>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</si>
  <si>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</si>
  <si>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</si>
  <si>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</si>
  <si>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</si>
  <si>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</si>
  <si>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</si>
  <si>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</si>
  <si>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</si>
  <si>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</si>
  <si>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</si>
  <si>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</si>
  <si>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</si>
  <si>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</si>
  <si>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</si>
  <si>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</si>
  <si>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</si>
  <si>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</si>
  <si>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</si>
  <si>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</si>
  <si>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</si>
  <si>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</si>
  <si>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</si>
  <si>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</si>
  <si>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</si>
  <si>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</si>
  <si>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</si>
  <si>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</si>
  <si>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</si>
  <si>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</si>
  <si>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</si>
  <si>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</si>
  <si>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</si>
  <si>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</si>
  <si>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</si>
  <si>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</si>
  <si>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</si>
  <si>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</si>
  <si>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</si>
  <si>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</si>
  <si>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</si>
  <si>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</si>
  <si>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</si>
  <si>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</si>
  <si>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</si>
  <si>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</si>
  <si>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</si>
  <si>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</si>
  <si>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</si>
  <si>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</si>
  <si>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</si>
  <si>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</si>
  <si>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</si>
  <si>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</si>
  <si>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</si>
  <si>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</si>
  <si>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</si>
  <si>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</si>
  <si>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</si>
  <si>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</si>
  <si>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</si>
  <si>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</si>
  <si>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</si>
  <si>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</si>
  <si>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</si>
  <si>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</si>
  <si>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</si>
  <si>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</si>
  <si>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</si>
  <si>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</si>
  <si>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</si>
  <si>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</si>
  <si>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</si>
  <si>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</si>
  <si>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</si>
  <si>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</si>
  <si>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</si>
  <si>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</si>
  <si>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</si>
  <si>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</si>
  <si>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</si>
  <si>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</si>
  <si>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</si>
  <si>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</si>
  <si>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</si>
  <si>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</si>
  <si>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</si>
  <si>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</si>
  <si>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</si>
  <si>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</si>
  <si>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</si>
  <si>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</si>
  <si>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</si>
  <si>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</si>
  <si>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</si>
  <si>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постановлением администрации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</si>
</sst>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000"/>
    <numFmt numFmtId="175" formatCode="0.0"/>
    <numFmt numFmtId="176" formatCode="0.00000"/>
    <numFmt numFmtId="177" formatCode="0.0000"/>
    <numFmt numFmtId="178" formatCode="0.000"/>
    <numFmt numFmtId="179" formatCode="#,##0.0_р_."/>
    <numFmt numFmtId="180" formatCode="#,##0.0"/>
    <numFmt numFmtId="181" formatCode="000"/>
    <numFmt numFmtId="182" formatCode="0.000000"/>
    <numFmt numFmtId="183" formatCode="#,##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dd/mm/yyyy\ hh:mm"/>
    <numFmt numFmtId="189" formatCode="?"/>
    <numFmt numFmtId="190" formatCode="#,##0.00000"/>
    <numFmt numFmtId="191" formatCode="#,##0.00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center"/>
    </xf>
    <xf numFmtId="0" fontId="41" fillId="0" borderId="0" xfId="0" applyFont="1" applyFill="1" applyAlignment="1">
      <alignment/>
    </xf>
    <xf numFmtId="0" fontId="0" fillId="24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24" borderId="0" xfId="55" applyFont="1" applyFill="1" applyAlignment="1">
      <alignment horizontal="right"/>
      <protection/>
    </xf>
    <xf numFmtId="0" fontId="9" fillId="24" borderId="0" xfId="55" applyFont="1" applyFill="1">
      <alignment/>
      <protection/>
    </xf>
    <xf numFmtId="0" fontId="1" fillId="0" borderId="0" xfId="55">
      <alignment/>
      <protection/>
    </xf>
    <xf numFmtId="0" fontId="9" fillId="24" borderId="0" xfId="55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176" fontId="0" fillId="0" borderId="0" xfId="0" applyNumberFormat="1" applyFill="1" applyAlignment="1">
      <alignment/>
    </xf>
    <xf numFmtId="0" fontId="2" fillId="24" borderId="0" xfId="0" applyNumberFormat="1" applyFont="1" applyFill="1" applyAlignment="1">
      <alignment vertical="top" wrapText="1"/>
    </xf>
    <xf numFmtId="0" fontId="2" fillId="24" borderId="0" xfId="0" applyFont="1" applyFill="1" applyAlignment="1">
      <alignment horizontal="center" vertical="top" wrapText="1"/>
    </xf>
    <xf numFmtId="1" fontId="2" fillId="24" borderId="0" xfId="0" applyNumberFormat="1" applyFont="1" applyFill="1" applyAlignment="1">
      <alignment horizontal="center" vertical="top" wrapText="1"/>
    </xf>
    <xf numFmtId="0" fontId="2" fillId="24" borderId="0" xfId="0" applyNumberFormat="1" applyFont="1" applyFill="1" applyAlignment="1">
      <alignment horizontal="left" vertical="top" wrapText="1"/>
    </xf>
    <xf numFmtId="174" fontId="12" fillId="0" borderId="10" xfId="0" applyNumberFormat="1" applyFont="1" applyBorder="1" applyAlignment="1">
      <alignment horizontal="center" vertical="center" wrapText="1"/>
    </xf>
    <xf numFmtId="0" fontId="12" fillId="24" borderId="11" xfId="0" applyNumberFormat="1" applyFont="1" applyFill="1" applyBorder="1" applyAlignment="1">
      <alignment horizontal="center" vertical="center" wrapText="1"/>
    </xf>
    <xf numFmtId="49" fontId="11" fillId="24" borderId="11" xfId="0" applyNumberFormat="1" applyFont="1" applyFill="1" applyBorder="1" applyAlignment="1">
      <alignment horizontal="center" vertical="center" wrapText="1"/>
    </xf>
    <xf numFmtId="1" fontId="11" fillId="24" borderId="11" xfId="0" applyNumberFormat="1" applyFont="1" applyFill="1" applyBorder="1" applyAlignment="1">
      <alignment horizontal="center" vertical="center" wrapText="1"/>
    </xf>
    <xf numFmtId="0" fontId="7" fillId="24" borderId="11" xfId="55" applyFont="1" applyFill="1" applyBorder="1" applyAlignment="1">
      <alignment horizontal="center" vertical="top" wrapText="1"/>
      <protection/>
    </xf>
    <xf numFmtId="0" fontId="4" fillId="24" borderId="11" xfId="55" applyFont="1" applyFill="1" applyBorder="1" applyAlignment="1">
      <alignment horizontal="left" vertical="top" wrapText="1"/>
      <protection/>
    </xf>
    <xf numFmtId="175" fontId="12" fillId="24" borderId="11" xfId="55" applyNumberFormat="1" applyFont="1" applyFill="1" applyBorder="1" applyAlignment="1">
      <alignment horizontal="right" vertical="center" wrapText="1"/>
      <protection/>
    </xf>
    <xf numFmtId="49" fontId="4" fillId="24" borderId="11" xfId="55" applyNumberFormat="1" applyFont="1" applyFill="1" applyBorder="1" applyAlignment="1">
      <alignment horizontal="left" vertical="top" wrapText="1"/>
      <protection/>
    </xf>
    <xf numFmtId="0" fontId="11" fillId="24" borderId="11" xfId="0" applyNumberFormat="1" applyFont="1" applyFill="1" applyBorder="1" applyAlignment="1">
      <alignment vertical="top" wrapText="1"/>
    </xf>
    <xf numFmtId="0" fontId="11" fillId="24" borderId="11" xfId="0" applyFont="1" applyFill="1" applyBorder="1" applyAlignment="1">
      <alignment vertical="top" wrapText="1"/>
    </xf>
    <xf numFmtId="0" fontId="11" fillId="24" borderId="11" xfId="0" applyNumberFormat="1" applyFont="1" applyFill="1" applyBorder="1" applyAlignment="1">
      <alignment horizontal="left" vertical="top" wrapText="1"/>
    </xf>
    <xf numFmtId="0" fontId="14" fillId="24" borderId="11" xfId="0" applyNumberFormat="1" applyFont="1" applyFill="1" applyBorder="1" applyAlignment="1">
      <alignment horizontal="left" vertical="top" wrapText="1"/>
    </xf>
    <xf numFmtId="0" fontId="12" fillId="24" borderId="10" xfId="0" applyNumberFormat="1" applyFont="1" applyFill="1" applyBorder="1" applyAlignment="1">
      <alignment horizontal="center" vertical="center" wrapText="1"/>
    </xf>
    <xf numFmtId="0" fontId="42" fillId="24" borderId="11" xfId="0" applyNumberFormat="1" applyFont="1" applyFill="1" applyBorder="1" applyAlignment="1">
      <alignment horizontal="left" vertical="top" wrapText="1"/>
    </xf>
    <xf numFmtId="0" fontId="43" fillId="24" borderId="11" xfId="0" applyNumberFormat="1" applyFont="1" applyFill="1" applyBorder="1" applyAlignment="1">
      <alignment horizontal="left" vertical="top" wrapText="1"/>
    </xf>
    <xf numFmtId="0" fontId="44" fillId="24" borderId="11" xfId="0" applyNumberFormat="1" applyFont="1" applyFill="1" applyBorder="1" applyAlignment="1">
      <alignment horizontal="left" vertical="top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5" fontId="11" fillId="24" borderId="11" xfId="0" applyNumberFormat="1" applyFont="1" applyFill="1" applyBorder="1" applyAlignment="1">
      <alignment horizontal="right" wrapText="1"/>
    </xf>
    <xf numFmtId="0" fontId="11" fillId="24" borderId="11" xfId="0" applyNumberFormat="1" applyFont="1" applyFill="1" applyBorder="1" applyAlignment="1">
      <alignment wrapText="1"/>
    </xf>
    <xf numFmtId="49" fontId="11" fillId="24" borderId="11" xfId="0" applyNumberFormat="1" applyFont="1" applyFill="1" applyBorder="1" applyAlignment="1">
      <alignment horizontal="right" vertical="center" wrapText="1"/>
    </xf>
    <xf numFmtId="0" fontId="11" fillId="24" borderId="11" xfId="0" applyNumberFormat="1" applyFont="1" applyFill="1" applyBorder="1" applyAlignment="1">
      <alignment horizontal="right" vertical="center" wrapText="1"/>
    </xf>
    <xf numFmtId="1" fontId="11" fillId="24" borderId="11" xfId="0" applyNumberFormat="1" applyFont="1" applyFill="1" applyBorder="1" applyAlignment="1">
      <alignment horizontal="right" vertical="center" wrapText="1"/>
    </xf>
    <xf numFmtId="0" fontId="11" fillId="24" borderId="11" xfId="0" applyNumberFormat="1" applyFont="1" applyFill="1" applyBorder="1" applyAlignment="1">
      <alignment horizontal="right" vertical="center"/>
    </xf>
    <xf numFmtId="175" fontId="11" fillId="24" borderId="11" xfId="0" applyNumberFormat="1" applyFont="1" applyFill="1" applyBorder="1" applyAlignment="1">
      <alignment horizontal="right" vertical="center" wrapText="1"/>
    </xf>
    <xf numFmtId="49" fontId="14" fillId="24" borderId="11" xfId="0" applyNumberFormat="1" applyFont="1" applyFill="1" applyBorder="1" applyAlignment="1">
      <alignment horizontal="center" vertical="center" wrapText="1"/>
    </xf>
    <xf numFmtId="175" fontId="14" fillId="24" borderId="11" xfId="0" applyNumberFormat="1" applyFont="1" applyFill="1" applyBorder="1" applyAlignment="1">
      <alignment horizontal="right" vertical="center" wrapText="1"/>
    </xf>
    <xf numFmtId="1" fontId="14" fillId="24" borderId="11" xfId="0" applyNumberFormat="1" applyFont="1" applyFill="1" applyBorder="1" applyAlignment="1">
      <alignment horizontal="center" vertical="center" wrapText="1"/>
    </xf>
    <xf numFmtId="0" fontId="11" fillId="24" borderId="11" xfId="0" applyNumberFormat="1" applyFont="1" applyFill="1" applyBorder="1" applyAlignment="1">
      <alignment horizontal="left" vertical="center" wrapText="1"/>
    </xf>
    <xf numFmtId="1" fontId="11" fillId="24" borderId="11" xfId="0" applyNumberFormat="1" applyFont="1" applyFill="1" applyBorder="1" applyAlignment="1">
      <alignment horizontal="right" wrapText="1"/>
    </xf>
    <xf numFmtId="0" fontId="11" fillId="24" borderId="11" xfId="0" applyNumberFormat="1" applyFont="1" applyFill="1" applyBorder="1" applyAlignment="1">
      <alignment horizontal="right" wrapText="1"/>
    </xf>
    <xf numFmtId="49" fontId="11" fillId="24" borderId="11" xfId="0" applyNumberFormat="1" applyFont="1" applyFill="1" applyBorder="1" applyAlignment="1">
      <alignment horizontal="right" wrapText="1"/>
    </xf>
    <xf numFmtId="181" fontId="11" fillId="24" borderId="11" xfId="0" applyNumberFormat="1" applyFont="1" applyFill="1" applyBorder="1" applyAlignment="1">
      <alignment horizontal="right" wrapText="1"/>
    </xf>
    <xf numFmtId="175" fontId="0" fillId="0" borderId="0" xfId="0" applyNumberFormat="1" applyFill="1" applyAlignment="1">
      <alignment/>
    </xf>
    <xf numFmtId="49" fontId="3" fillId="24" borderId="11" xfId="55" applyNumberFormat="1" applyFont="1" applyFill="1" applyBorder="1" applyAlignment="1">
      <alignment horizontal="left" vertical="top" wrapText="1"/>
      <protection/>
    </xf>
    <xf numFmtId="0" fontId="3" fillId="24" borderId="11" xfId="55" applyFont="1" applyFill="1" applyBorder="1" applyAlignment="1">
      <alignment horizontal="left" vertical="top" wrapText="1"/>
      <protection/>
    </xf>
    <xf numFmtId="175" fontId="17" fillId="24" borderId="11" xfId="55" applyNumberFormat="1" applyFont="1" applyFill="1" applyBorder="1" applyAlignment="1">
      <alignment horizontal="right" vertical="center" wrapText="1"/>
      <protection/>
    </xf>
    <xf numFmtId="49" fontId="18" fillId="24" borderId="11" xfId="55" applyNumberFormat="1" applyFont="1" applyFill="1" applyBorder="1" applyAlignment="1">
      <alignment horizontal="left" vertical="top" wrapText="1"/>
      <protection/>
    </xf>
    <xf numFmtId="0" fontId="19" fillId="24" borderId="11" xfId="55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176" fontId="21" fillId="0" borderId="0" xfId="0" applyNumberFormat="1" applyFont="1" applyFill="1" applyAlignment="1">
      <alignment/>
    </xf>
    <xf numFmtId="1" fontId="13" fillId="24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24" borderId="10" xfId="0" applyNumberFormat="1" applyFont="1" applyFill="1" applyBorder="1" applyAlignment="1">
      <alignment horizontal="center" vertical="center" textRotation="90" wrapText="1"/>
    </xf>
    <xf numFmtId="1" fontId="6" fillId="24" borderId="10" xfId="0" applyNumberFormat="1" applyFont="1" applyFill="1" applyBorder="1" applyAlignment="1">
      <alignment horizontal="center" vertical="center" textRotation="90" wrapText="1"/>
    </xf>
    <xf numFmtId="0" fontId="13" fillId="24" borderId="10" xfId="0" applyNumberFormat="1" applyFont="1" applyFill="1" applyBorder="1" applyAlignment="1">
      <alignment horizontal="center" vertical="center" textRotation="90" wrapText="1"/>
    </xf>
    <xf numFmtId="49" fontId="20" fillId="0" borderId="11" xfId="0" applyNumberFormat="1" applyFont="1" applyFill="1" applyBorder="1" applyAlignment="1">
      <alignment horizontal="center" vertical="top" textRotation="90" wrapText="1"/>
    </xf>
    <xf numFmtId="175" fontId="14" fillId="24" borderId="12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175" fontId="11" fillId="24" borderId="11" xfId="0" applyNumberFormat="1" applyFont="1" applyFill="1" applyBorder="1" applyAlignment="1">
      <alignment wrapText="1"/>
    </xf>
    <xf numFmtId="175" fontId="12" fillId="24" borderId="11" xfId="0" applyNumberFormat="1" applyFont="1" applyFill="1" applyBorder="1" applyAlignment="1">
      <alignment horizontal="right" vertical="center" wrapText="1"/>
    </xf>
    <xf numFmtId="175" fontId="17" fillId="24" borderId="11" xfId="0" applyNumberFormat="1" applyFont="1" applyFill="1" applyBorder="1" applyAlignment="1">
      <alignment horizontal="right" vertical="center" wrapText="1"/>
    </xf>
    <xf numFmtId="175" fontId="7" fillId="24" borderId="11" xfId="0" applyNumberFormat="1" applyFont="1" applyFill="1" applyBorder="1" applyAlignment="1">
      <alignment wrapText="1"/>
    </xf>
    <xf numFmtId="0" fontId="7" fillId="24" borderId="11" xfId="0" applyNumberFormat="1" applyFont="1" applyFill="1" applyBorder="1" applyAlignment="1">
      <alignment horizontal="center" vertical="center" wrapText="1"/>
    </xf>
    <xf numFmtId="49" fontId="13" fillId="24" borderId="11" xfId="0" applyNumberFormat="1" applyFont="1" applyFill="1" applyBorder="1" applyAlignment="1">
      <alignment horizontal="center" vertical="center" textRotation="90" wrapText="1"/>
    </xf>
    <xf numFmtId="49" fontId="22" fillId="24" borderId="11" xfId="0" applyNumberFormat="1" applyFont="1" applyFill="1" applyBorder="1" applyAlignment="1">
      <alignment horizontal="center" vertical="top" textRotation="90" wrapText="1"/>
    </xf>
    <xf numFmtId="0" fontId="13" fillId="24" borderId="10" xfId="0" applyNumberFormat="1" applyFont="1" applyFill="1" applyBorder="1" applyAlignment="1">
      <alignment horizontal="center" vertical="top" wrapText="1"/>
    </xf>
    <xf numFmtId="174" fontId="12" fillId="24" borderId="10" xfId="0" applyNumberFormat="1" applyFont="1" applyFill="1" applyBorder="1" applyAlignment="1">
      <alignment horizontal="center" vertical="center" wrapText="1"/>
    </xf>
    <xf numFmtId="175" fontId="7" fillId="24" borderId="11" xfId="0" applyNumberFormat="1" applyFont="1" applyFill="1" applyBorder="1" applyAlignment="1">
      <alignment/>
    </xf>
    <xf numFmtId="0" fontId="16" fillId="24" borderId="11" xfId="0" applyNumberFormat="1" applyFont="1" applyFill="1" applyBorder="1" applyAlignment="1">
      <alignment horizontal="right" vertical="center" wrapText="1"/>
    </xf>
    <xf numFmtId="1" fontId="11" fillId="24" borderId="11" xfId="0" applyNumberFormat="1" applyFont="1" applyFill="1" applyBorder="1" applyAlignment="1">
      <alignment horizontal="right" vertical="center"/>
    </xf>
    <xf numFmtId="174" fontId="11" fillId="24" borderId="11" xfId="0" applyNumberFormat="1" applyFont="1" applyFill="1" applyBorder="1" applyAlignment="1">
      <alignment horizontal="right" vertical="center" wrapText="1"/>
    </xf>
    <xf numFmtId="175" fontId="11" fillId="24" borderId="11" xfId="0" applyNumberFormat="1" applyFont="1" applyFill="1" applyBorder="1" applyAlignment="1">
      <alignment vertical="center" wrapText="1"/>
    </xf>
    <xf numFmtId="175" fontId="14" fillId="24" borderId="11" xfId="0" applyNumberFormat="1" applyFont="1" applyFill="1" applyBorder="1" applyAlignment="1">
      <alignment vertical="center" wrapText="1"/>
    </xf>
    <xf numFmtId="0" fontId="9" fillId="24" borderId="0" xfId="55" applyFont="1" applyFill="1" applyAlignment="1">
      <alignment/>
      <protection/>
    </xf>
    <xf numFmtId="0" fontId="7" fillId="24" borderId="0" xfId="55" applyFont="1" applyFill="1" applyAlignment="1">
      <alignment/>
      <protection/>
    </xf>
    <xf numFmtId="0" fontId="12" fillId="24" borderId="13" xfId="55" applyFont="1" applyFill="1" applyBorder="1" applyAlignment="1">
      <alignment horizontal="right"/>
      <protection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24" borderId="0" xfId="55" applyFont="1" applyFill="1" applyAlignment="1">
      <alignment horizontal="center" vertical="center" wrapText="1" shrinkToFit="1"/>
      <protection/>
    </xf>
    <xf numFmtId="0" fontId="7" fillId="24" borderId="0" xfId="55" applyFont="1" applyFill="1" applyAlignment="1">
      <alignment horizontal="right"/>
      <protection/>
    </xf>
    <xf numFmtId="0" fontId="9" fillId="24" borderId="0" xfId="55" applyFont="1" applyFill="1" applyAlignment="1">
      <alignment horizontal="right"/>
      <protection/>
    </xf>
    <xf numFmtId="174" fontId="11" fillId="0" borderId="13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/>
    </xf>
    <xf numFmtId="174" fontId="11" fillId="24" borderId="13" xfId="0" applyNumberFormat="1" applyFont="1" applyFill="1" applyBorder="1" applyAlignment="1">
      <alignment horizontal="right" wrapText="1"/>
    </xf>
    <xf numFmtId="0" fontId="9" fillId="24" borderId="0" xfId="0" applyNumberFormat="1" applyFont="1" applyFill="1" applyAlignment="1">
      <alignment horizontal="center" wrapText="1"/>
    </xf>
    <xf numFmtId="174" fontId="11" fillId="24" borderId="13" xfId="0" applyNumberFormat="1" applyFont="1" applyFill="1" applyBorder="1" applyAlignment="1">
      <alignment horizontal="right" vertical="top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="110" zoomScaleNormal="110" zoomScalePageLayoutView="0" workbookViewId="0" topLeftCell="A1">
      <selection activeCell="B5" sqref="B5:E5"/>
    </sheetView>
  </sheetViews>
  <sheetFormatPr defaultColWidth="9.140625" defaultRowHeight="12.75"/>
  <cols>
    <col min="1" max="1" width="5.7109375" style="20" customWidth="1"/>
    <col min="2" max="2" width="49.57421875" style="20" customWidth="1"/>
    <col min="3" max="3" width="11.28125" style="20" customWidth="1"/>
    <col min="4" max="4" width="11.8515625" style="20" customWidth="1"/>
    <col min="5" max="5" width="12.28125" style="20" customWidth="1"/>
    <col min="6" max="16384" width="9.140625" style="20" customWidth="1"/>
  </cols>
  <sheetData>
    <row r="1" spans="1:5" ht="16.5">
      <c r="A1" s="18" t="s">
        <v>253</v>
      </c>
      <c r="B1" s="19"/>
      <c r="C1" s="106" t="s">
        <v>250</v>
      </c>
      <c r="D1" s="107"/>
      <c r="E1" s="107"/>
    </row>
    <row r="2" spans="1:5" ht="16.5">
      <c r="A2" s="18"/>
      <c r="B2" s="19"/>
      <c r="C2" s="106" t="s">
        <v>251</v>
      </c>
      <c r="D2" s="106"/>
      <c r="E2" s="106"/>
    </row>
    <row r="3" spans="1:5" ht="16.5">
      <c r="A3" s="18"/>
      <c r="B3" s="103" t="s">
        <v>249</v>
      </c>
      <c r="C3" s="104" t="s">
        <v>372</v>
      </c>
      <c r="D3" s="103"/>
      <c r="E3" s="103"/>
    </row>
    <row r="4" spans="1:5" ht="16.5">
      <c r="A4" s="18"/>
      <c r="B4" s="109" t="s">
        <v>244</v>
      </c>
      <c r="C4" s="110"/>
      <c r="D4" s="110"/>
      <c r="E4" s="110"/>
    </row>
    <row r="5" spans="1:5" ht="16.5">
      <c r="A5" s="18"/>
      <c r="B5" s="109" t="s">
        <v>252</v>
      </c>
      <c r="C5" s="110"/>
      <c r="D5" s="110"/>
      <c r="E5" s="110"/>
    </row>
    <row r="6" spans="1:5" ht="41.25" customHeight="1">
      <c r="A6" s="108" t="s">
        <v>246</v>
      </c>
      <c r="B6" s="108"/>
      <c r="C6" s="108"/>
      <c r="D6" s="108"/>
      <c r="E6" s="108"/>
    </row>
    <row r="7" spans="1:5" ht="16.5">
      <c r="A7" s="21" t="s">
        <v>2</v>
      </c>
      <c r="B7" s="19"/>
      <c r="C7" s="105"/>
      <c r="D7" s="105"/>
      <c r="E7" s="73" t="s">
        <v>139</v>
      </c>
    </row>
    <row r="8" spans="1:5" ht="35.25" customHeight="1">
      <c r="A8" s="35" t="s">
        <v>3</v>
      </c>
      <c r="B8" s="35" t="s">
        <v>4</v>
      </c>
      <c r="C8" s="31" t="s">
        <v>169</v>
      </c>
      <c r="D8" s="31" t="s">
        <v>241</v>
      </c>
      <c r="E8" s="31" t="s">
        <v>240</v>
      </c>
    </row>
    <row r="9" spans="1:5" ht="16.5" customHeight="1">
      <c r="A9" s="67" t="s">
        <v>295</v>
      </c>
      <c r="B9" s="68" t="s">
        <v>5</v>
      </c>
      <c r="C9" s="69">
        <f>SUM(C10:C18)</f>
        <v>82248.38487000001</v>
      </c>
      <c r="D9" s="69">
        <f>SUM(D10:D18)</f>
        <v>20672.66713</v>
      </c>
      <c r="E9" s="90">
        <f>SUM(D9/C9)*100</f>
        <v>25.13443536025025</v>
      </c>
    </row>
    <row r="10" spans="1:5" ht="45" customHeight="1">
      <c r="A10" s="38" t="s">
        <v>296</v>
      </c>
      <c r="B10" s="36" t="s">
        <v>287</v>
      </c>
      <c r="C10" s="37">
        <f>SUM('Таблица №6'!F11)</f>
        <v>2600</v>
      </c>
      <c r="D10" s="37">
        <f>SUM('Таблица №6'!G11)</f>
        <v>429.6834</v>
      </c>
      <c r="E10" s="89">
        <f aca="true" t="shared" si="0" ref="E10:E61">SUM(D10/C10)*100</f>
        <v>16.526284615384615</v>
      </c>
    </row>
    <row r="11" spans="1:5" ht="60.75" customHeight="1">
      <c r="A11" s="38" t="s">
        <v>282</v>
      </c>
      <c r="B11" s="36" t="s">
        <v>279</v>
      </c>
      <c r="C11" s="37">
        <f>SUM('Таблица №6'!F14)</f>
        <v>631.2</v>
      </c>
      <c r="D11" s="37">
        <f>SUM('Таблица №6'!G14)</f>
        <v>167.71894</v>
      </c>
      <c r="E11" s="89">
        <f t="shared" si="0"/>
        <v>26.571441698352345</v>
      </c>
    </row>
    <row r="12" spans="1:5" ht="62.25" customHeight="1">
      <c r="A12" s="38" t="s">
        <v>294</v>
      </c>
      <c r="B12" s="36" t="s">
        <v>288</v>
      </c>
      <c r="C12" s="37">
        <f>SUM('Таблица №6'!F20)</f>
        <v>39535.3</v>
      </c>
      <c r="D12" s="37">
        <f>SUM('Таблица №6'!G20)</f>
        <v>6985.3019300000005</v>
      </c>
      <c r="E12" s="89">
        <f t="shared" si="0"/>
        <v>17.66851884265454</v>
      </c>
    </row>
    <row r="13" spans="1:5" ht="15" customHeight="1">
      <c r="A13" s="38" t="s">
        <v>297</v>
      </c>
      <c r="B13" s="36" t="s">
        <v>289</v>
      </c>
      <c r="C13" s="37">
        <f>SUM('Приложение 3'!G51)</f>
        <v>2.8</v>
      </c>
      <c r="D13" s="37">
        <f>SUM('Приложение 3'!H51)</f>
        <v>0</v>
      </c>
      <c r="E13" s="89">
        <f t="shared" si="0"/>
        <v>0</v>
      </c>
    </row>
    <row r="14" spans="1:5" ht="42.75" customHeight="1">
      <c r="A14" s="38" t="s">
        <v>285</v>
      </c>
      <c r="B14" s="36" t="s">
        <v>6</v>
      </c>
      <c r="C14" s="37">
        <f>SUM('Таблица №6'!F44)</f>
        <v>1994</v>
      </c>
      <c r="D14" s="37">
        <f>SUM('Таблица №6'!G44)</f>
        <v>403.81272</v>
      </c>
      <c r="E14" s="89">
        <f t="shared" si="0"/>
        <v>20.251390170511534</v>
      </c>
    </row>
    <row r="15" spans="1:5" ht="1.5" customHeight="1" hidden="1">
      <c r="A15" s="38" t="s">
        <v>298</v>
      </c>
      <c r="B15" s="36" t="s">
        <v>290</v>
      </c>
      <c r="C15" s="37">
        <f>SUM('Таблица №6'!F51)</f>
        <v>0</v>
      </c>
      <c r="D15" s="37">
        <f>SUM('Таблица №6'!G51)</f>
        <v>0</v>
      </c>
      <c r="E15" s="89" t="e">
        <f t="shared" si="0"/>
        <v>#DIV/0!</v>
      </c>
    </row>
    <row r="16" spans="1:5" ht="16.5" customHeight="1">
      <c r="A16" s="38" t="s">
        <v>299</v>
      </c>
      <c r="B16" s="36" t="s">
        <v>292</v>
      </c>
      <c r="C16" s="37">
        <f>SUM('Таблица №6'!F55)</f>
        <v>320</v>
      </c>
      <c r="D16" s="37">
        <f>SUM('Таблица №6'!G55)</f>
        <v>0</v>
      </c>
      <c r="E16" s="89">
        <f t="shared" si="0"/>
        <v>0</v>
      </c>
    </row>
    <row r="17" spans="1:5" ht="16.5" customHeight="1">
      <c r="A17" s="38" t="s">
        <v>283</v>
      </c>
      <c r="B17" s="36" t="s">
        <v>300</v>
      </c>
      <c r="C17" s="37">
        <f>SUM('Таблица №6'!F57)-C18</f>
        <v>37165.08487</v>
      </c>
      <c r="D17" s="37">
        <f>SUM('Таблица №6'!G57)-D18</f>
        <v>12686.150140000002</v>
      </c>
      <c r="E17" s="89">
        <f t="shared" si="0"/>
        <v>34.134592143069156</v>
      </c>
    </row>
    <row r="18" spans="1:5" ht="16.5" customHeight="1">
      <c r="A18" s="38" t="s">
        <v>283</v>
      </c>
      <c r="B18" s="36" t="s">
        <v>301</v>
      </c>
      <c r="C18" s="37">
        <f>SUM('Таблица №6'!F94)</f>
        <v>0</v>
      </c>
      <c r="D18" s="37">
        <f>SUM('Таблица №6'!G94)</f>
        <v>0</v>
      </c>
      <c r="E18" s="89">
        <v>0</v>
      </c>
    </row>
    <row r="19" spans="1:5" ht="16.5" customHeight="1">
      <c r="A19" s="67" t="s">
        <v>363</v>
      </c>
      <c r="B19" s="68" t="s">
        <v>7</v>
      </c>
      <c r="C19" s="69">
        <f>SUM(C20)</f>
        <v>414.2</v>
      </c>
      <c r="D19" s="69">
        <f>SUM(D20)</f>
        <v>118.26</v>
      </c>
      <c r="E19" s="90">
        <f t="shared" si="0"/>
        <v>28.551424432641237</v>
      </c>
    </row>
    <row r="20" spans="1:5" ht="16.5" customHeight="1">
      <c r="A20" s="38" t="s">
        <v>304</v>
      </c>
      <c r="B20" s="36" t="s">
        <v>303</v>
      </c>
      <c r="C20" s="37">
        <f>SUM('Таблица №6'!F95)</f>
        <v>414.2</v>
      </c>
      <c r="D20" s="37">
        <f>SUM('Таблица №6'!G95)</f>
        <v>118.26</v>
      </c>
      <c r="E20" s="89">
        <f t="shared" si="0"/>
        <v>28.551424432641237</v>
      </c>
    </row>
    <row r="21" spans="1:5" ht="27.75" customHeight="1">
      <c r="A21" s="67" t="s">
        <v>364</v>
      </c>
      <c r="B21" s="68" t="s">
        <v>368</v>
      </c>
      <c r="C21" s="69">
        <f>SUM(C22:C23)</f>
        <v>70</v>
      </c>
      <c r="D21" s="69">
        <f>SUM(D22:D23)</f>
        <v>0</v>
      </c>
      <c r="E21" s="90">
        <f t="shared" si="0"/>
        <v>0</v>
      </c>
    </row>
    <row r="22" spans="1:5" ht="16.5" customHeight="1">
      <c r="A22" s="38" t="s">
        <v>305</v>
      </c>
      <c r="B22" s="36" t="s">
        <v>151</v>
      </c>
      <c r="C22" s="37">
        <f>SUM('Таблица №6'!F101)</f>
        <v>20</v>
      </c>
      <c r="D22" s="37">
        <f>SUM('Таблица №6'!G101)</f>
        <v>0</v>
      </c>
      <c r="E22" s="89">
        <f t="shared" si="0"/>
        <v>0</v>
      </c>
    </row>
    <row r="23" spans="1:5" ht="42.75" customHeight="1">
      <c r="A23" s="38" t="s">
        <v>150</v>
      </c>
      <c r="B23" s="36" t="s">
        <v>149</v>
      </c>
      <c r="C23" s="37">
        <f>SUM('Таблица №6'!F104)</f>
        <v>50</v>
      </c>
      <c r="D23" s="37">
        <f>SUM('Таблица №6'!G104)</f>
        <v>0</v>
      </c>
      <c r="E23" s="89">
        <f t="shared" si="0"/>
        <v>0</v>
      </c>
    </row>
    <row r="24" spans="1:5" ht="15.75" customHeight="1">
      <c r="A24" s="67" t="s">
        <v>313</v>
      </c>
      <c r="B24" s="68" t="s">
        <v>369</v>
      </c>
      <c r="C24" s="69">
        <f>SUM(C25:C27)</f>
        <v>125204.00788</v>
      </c>
      <c r="D24" s="69">
        <f>SUM(D25:D27)</f>
        <v>146.5</v>
      </c>
      <c r="E24" s="90">
        <f t="shared" si="0"/>
        <v>0.1170090338804576</v>
      </c>
    </row>
    <row r="25" spans="1:5" ht="15.75" customHeight="1">
      <c r="A25" s="38" t="s">
        <v>21</v>
      </c>
      <c r="B25" s="36" t="s">
        <v>20</v>
      </c>
      <c r="C25" s="37">
        <f>SUM('Таблица №6'!F111)</f>
        <v>143.5</v>
      </c>
      <c r="D25" s="37">
        <f>SUM('Таблица №6'!G111)</f>
        <v>0</v>
      </c>
      <c r="E25" s="89">
        <f t="shared" si="0"/>
        <v>0</v>
      </c>
    </row>
    <row r="26" spans="1:5" ht="15.75" customHeight="1">
      <c r="A26" s="38" t="s">
        <v>306</v>
      </c>
      <c r="B26" s="36" t="s">
        <v>370</v>
      </c>
      <c r="C26" s="37">
        <f>SUM('Таблица №6'!F115)</f>
        <v>124610.50788</v>
      </c>
      <c r="D26" s="37">
        <f>SUM('Таблица №6'!G115)</f>
        <v>0</v>
      </c>
      <c r="E26" s="89">
        <f t="shared" si="0"/>
        <v>0</v>
      </c>
    </row>
    <row r="27" spans="1:5" ht="15.75" customHeight="1">
      <c r="A27" s="38" t="s">
        <v>307</v>
      </c>
      <c r="B27" s="36" t="s">
        <v>371</v>
      </c>
      <c r="C27" s="37">
        <f>SUM('Таблица №6'!F123)</f>
        <v>450</v>
      </c>
      <c r="D27" s="37">
        <f>SUM('Таблица №6'!G123)</f>
        <v>146.5</v>
      </c>
      <c r="E27" s="89">
        <f t="shared" si="0"/>
        <v>32.55555555555556</v>
      </c>
    </row>
    <row r="28" spans="1:5" ht="15.75" customHeight="1">
      <c r="A28" s="67" t="s">
        <v>310</v>
      </c>
      <c r="B28" s="68" t="s">
        <v>8</v>
      </c>
      <c r="C28" s="69">
        <f>SUM(C29:C30)</f>
        <v>25658.3</v>
      </c>
      <c r="D28" s="69">
        <f>SUM(D29:D30)</f>
        <v>1200.53469</v>
      </c>
      <c r="E28" s="90">
        <f t="shared" si="0"/>
        <v>4.678933093774724</v>
      </c>
    </row>
    <row r="29" spans="1:5" ht="14.25" customHeight="1">
      <c r="A29" s="38" t="s">
        <v>311</v>
      </c>
      <c r="B29" s="36" t="s">
        <v>308</v>
      </c>
      <c r="C29" s="37">
        <f>SUM('Таблица №6'!F135)</f>
        <v>19547</v>
      </c>
      <c r="D29" s="37">
        <f>SUM('Таблица №6'!G135)</f>
        <v>1200.53469</v>
      </c>
      <c r="E29" s="89">
        <f t="shared" si="0"/>
        <v>6.141784877474804</v>
      </c>
    </row>
    <row r="30" spans="1:5" ht="15">
      <c r="A30" s="38" t="s">
        <v>9</v>
      </c>
      <c r="B30" s="36" t="s">
        <v>10</v>
      </c>
      <c r="C30" s="37">
        <f>SUM('Таблица №6'!F148)</f>
        <v>6111.3</v>
      </c>
      <c r="D30" s="37">
        <f>SUM('Таблица №6'!G148)</f>
        <v>0</v>
      </c>
      <c r="E30" s="89">
        <f t="shared" si="0"/>
        <v>0</v>
      </c>
    </row>
    <row r="31" spans="1:5" ht="15.75" customHeight="1">
      <c r="A31" s="67" t="s">
        <v>365</v>
      </c>
      <c r="B31" s="68" t="s">
        <v>312</v>
      </c>
      <c r="C31" s="69">
        <f>SUM(C32)</f>
        <v>835</v>
      </c>
      <c r="D31" s="69">
        <f>SUM(D32)</f>
        <v>0</v>
      </c>
      <c r="E31" s="90">
        <f t="shared" si="0"/>
        <v>0</v>
      </c>
    </row>
    <row r="32" spans="1:5" ht="15.75" customHeight="1">
      <c r="A32" s="38" t="s">
        <v>314</v>
      </c>
      <c r="B32" s="36" t="s">
        <v>172</v>
      </c>
      <c r="C32" s="37">
        <f>SUM('Таблица №6'!F154)</f>
        <v>835</v>
      </c>
      <c r="D32" s="37">
        <f>SUM('Таблица №6'!G154)</f>
        <v>0</v>
      </c>
      <c r="E32" s="89">
        <f t="shared" si="0"/>
        <v>0</v>
      </c>
    </row>
    <row r="33" spans="1:5" ht="18" customHeight="1">
      <c r="A33" s="67" t="s">
        <v>318</v>
      </c>
      <c r="B33" s="68" t="s">
        <v>315</v>
      </c>
      <c r="C33" s="69">
        <f>SUM(C34:C38)</f>
        <v>404096.0003100001</v>
      </c>
      <c r="D33" s="69">
        <f>SUM(D34:D38)</f>
        <v>61751.521219999995</v>
      </c>
      <c r="E33" s="90">
        <f t="shared" si="0"/>
        <v>15.281398769754622</v>
      </c>
    </row>
    <row r="34" spans="1:5" ht="18" customHeight="1">
      <c r="A34" s="38" t="s">
        <v>317</v>
      </c>
      <c r="B34" s="36" t="s">
        <v>316</v>
      </c>
      <c r="C34" s="37">
        <f>SUM('Таблица №6'!F159)</f>
        <v>41743.65543</v>
      </c>
      <c r="D34" s="37">
        <f>SUM('Таблица №6'!G159)</f>
        <v>9439.52011</v>
      </c>
      <c r="E34" s="89">
        <f t="shared" si="0"/>
        <v>22.613065417400126</v>
      </c>
    </row>
    <row r="35" spans="1:5" ht="18" customHeight="1">
      <c r="A35" s="38" t="s">
        <v>319</v>
      </c>
      <c r="B35" s="36" t="s">
        <v>323</v>
      </c>
      <c r="C35" s="37">
        <f>SUM('Таблица №6'!F182)</f>
        <v>337905.6649000001</v>
      </c>
      <c r="D35" s="37">
        <f>SUM('Таблица №6'!G182)</f>
        <v>47463.74797999999</v>
      </c>
      <c r="E35" s="89">
        <f t="shared" si="0"/>
        <v>14.046449323081466</v>
      </c>
    </row>
    <row r="36" spans="1:5" ht="18" customHeight="1">
      <c r="A36" s="38" t="s">
        <v>82</v>
      </c>
      <c r="B36" s="36" t="s">
        <v>81</v>
      </c>
      <c r="C36" s="37">
        <f>SUM('Таблица №6'!F228)</f>
        <v>12061.971160000001</v>
      </c>
      <c r="D36" s="37">
        <f>SUM('Таблица №6'!G228)</f>
        <v>2590.8403200000002</v>
      </c>
      <c r="E36" s="89">
        <f t="shared" si="0"/>
        <v>21.47941066707044</v>
      </c>
    </row>
    <row r="37" spans="1:5" ht="18" customHeight="1">
      <c r="A37" s="38" t="s">
        <v>324</v>
      </c>
      <c r="B37" s="36" t="s">
        <v>152</v>
      </c>
      <c r="C37" s="37">
        <f>SUM('Таблица №6'!F238)</f>
        <v>4775.6</v>
      </c>
      <c r="D37" s="37">
        <f>SUM('Таблица №6'!G238)</f>
        <v>930.09032</v>
      </c>
      <c r="E37" s="89">
        <f t="shared" si="0"/>
        <v>19.475884077393417</v>
      </c>
    </row>
    <row r="38" spans="1:5" ht="18" customHeight="1">
      <c r="A38" s="38" t="s">
        <v>326</v>
      </c>
      <c r="B38" s="36" t="s">
        <v>325</v>
      </c>
      <c r="C38" s="37">
        <f>SUM('Таблица №6'!F251)</f>
        <v>7609.1088199999995</v>
      </c>
      <c r="D38" s="37">
        <f>SUM('Таблица №6'!G251)</f>
        <v>1327.32249</v>
      </c>
      <c r="E38" s="89">
        <f t="shared" si="0"/>
        <v>17.443862630946054</v>
      </c>
    </row>
    <row r="39" spans="1:5" ht="18" customHeight="1">
      <c r="A39" s="67" t="s">
        <v>366</v>
      </c>
      <c r="B39" s="68" t="s">
        <v>11</v>
      </c>
      <c r="C39" s="69">
        <f>SUM(C40:C42)</f>
        <v>13223.271120000001</v>
      </c>
      <c r="D39" s="69">
        <f>SUM(D40:D42)</f>
        <v>3419.8941100000006</v>
      </c>
      <c r="E39" s="90">
        <f t="shared" si="0"/>
        <v>25.86269372354819</v>
      </c>
    </row>
    <row r="40" spans="1:5" ht="18" customHeight="1">
      <c r="A40" s="38" t="s">
        <v>333</v>
      </c>
      <c r="B40" s="36" t="s">
        <v>367</v>
      </c>
      <c r="C40" s="37">
        <f>SUM('Таблица №6'!F267)</f>
        <v>12681.99653</v>
      </c>
      <c r="D40" s="37">
        <f>SUM('Таблица №6'!G267)</f>
        <v>3276.2607100000005</v>
      </c>
      <c r="E40" s="89">
        <f t="shared" si="0"/>
        <v>25.833950531762213</v>
      </c>
    </row>
    <row r="41" spans="1:5" ht="15.75" customHeight="1">
      <c r="A41" s="38" t="s">
        <v>334</v>
      </c>
      <c r="B41" s="36" t="s">
        <v>331</v>
      </c>
      <c r="C41" s="37">
        <f>SUM('Таблица №6'!F284)</f>
        <v>541.27459</v>
      </c>
      <c r="D41" s="37">
        <f>SUM('Таблица №6'!G284)</f>
        <v>143.6334</v>
      </c>
      <c r="E41" s="89">
        <f t="shared" si="0"/>
        <v>26.536143143168793</v>
      </c>
    </row>
    <row r="42" spans="1:5" ht="20.25" customHeight="1" hidden="1">
      <c r="A42" s="38" t="s">
        <v>335</v>
      </c>
      <c r="B42" s="36" t="s">
        <v>332</v>
      </c>
      <c r="C42" s="37">
        <f>SUM('Таблица №6'!F286)</f>
        <v>0</v>
      </c>
      <c r="D42" s="37">
        <f>SUM('Таблица №6'!G286)</f>
        <v>0</v>
      </c>
      <c r="E42" s="89" t="e">
        <f t="shared" si="0"/>
        <v>#DIV/0!</v>
      </c>
    </row>
    <row r="43" spans="1:5" ht="18" customHeight="1" hidden="1">
      <c r="A43" s="67" t="s">
        <v>85</v>
      </c>
      <c r="B43" s="68" t="s">
        <v>84</v>
      </c>
      <c r="C43" s="69">
        <f>SUM(C44)</f>
        <v>0</v>
      </c>
      <c r="D43" s="69">
        <f>SUM(D44)</f>
        <v>0</v>
      </c>
      <c r="E43" s="89" t="e">
        <f t="shared" si="0"/>
        <v>#DIV/0!</v>
      </c>
    </row>
    <row r="44" spans="1:5" ht="0.75" customHeight="1" hidden="1">
      <c r="A44" s="38" t="s">
        <v>87</v>
      </c>
      <c r="B44" s="36" t="s">
        <v>86</v>
      </c>
      <c r="C44" s="37">
        <f>SUM('Таблица №6'!F291)</f>
        <v>0</v>
      </c>
      <c r="D44" s="37">
        <f>SUM('Таблица №6'!G291)</f>
        <v>0</v>
      </c>
      <c r="E44" s="89" t="e">
        <f t="shared" si="0"/>
        <v>#DIV/0!</v>
      </c>
    </row>
    <row r="45" spans="1:5" ht="18" customHeight="1">
      <c r="A45" s="67">
        <v>1000</v>
      </c>
      <c r="B45" s="68" t="s">
        <v>336</v>
      </c>
      <c r="C45" s="69">
        <f>SUM(C46:C49)</f>
        <v>27965.196</v>
      </c>
      <c r="D45" s="69">
        <f>SUM(D46:D49)</f>
        <v>6385.55094</v>
      </c>
      <c r="E45" s="90">
        <f t="shared" si="0"/>
        <v>22.833921636022147</v>
      </c>
    </row>
    <row r="46" spans="1:5" ht="18" customHeight="1">
      <c r="A46" s="38">
        <v>1001</v>
      </c>
      <c r="B46" s="36" t="s">
        <v>337</v>
      </c>
      <c r="C46" s="37">
        <f>SUM('Таблица №6'!F296)</f>
        <v>5000</v>
      </c>
      <c r="D46" s="37">
        <f>SUM('Таблица №6'!G296)</f>
        <v>832.3544</v>
      </c>
      <c r="E46" s="89">
        <f t="shared" si="0"/>
        <v>16.647088</v>
      </c>
    </row>
    <row r="47" spans="1:5" ht="18" customHeight="1">
      <c r="A47" s="38">
        <v>1003</v>
      </c>
      <c r="B47" s="36" t="s">
        <v>340</v>
      </c>
      <c r="C47" s="37">
        <f>SUM('Таблица №6'!F299)</f>
        <v>12684.749</v>
      </c>
      <c r="D47" s="37">
        <f>SUM('Таблица №6'!G299)</f>
        <v>3515.7525800000003</v>
      </c>
      <c r="E47" s="89">
        <f t="shared" si="0"/>
        <v>27.71637483721594</v>
      </c>
    </row>
    <row r="48" spans="1:5" ht="18" customHeight="1">
      <c r="A48" s="38">
        <v>1004</v>
      </c>
      <c r="B48" s="36" t="s">
        <v>341</v>
      </c>
      <c r="C48" s="37">
        <f>SUM('Таблица №6'!F312)</f>
        <v>9338.396</v>
      </c>
      <c r="D48" s="37">
        <f>SUM('Таблица №6'!G312)</f>
        <v>1851.1524000000002</v>
      </c>
      <c r="E48" s="89">
        <f t="shared" si="0"/>
        <v>19.8230231401624</v>
      </c>
    </row>
    <row r="49" spans="1:5" ht="18" customHeight="1">
      <c r="A49" s="38" t="s">
        <v>95</v>
      </c>
      <c r="B49" s="36" t="s">
        <v>96</v>
      </c>
      <c r="C49" s="37">
        <f>SUM('Таблица №6'!F324)</f>
        <v>942.0509999999999</v>
      </c>
      <c r="D49" s="37">
        <f>SUM('Таблица №6'!G324)</f>
        <v>186.29156</v>
      </c>
      <c r="E49" s="89">
        <f t="shared" si="0"/>
        <v>19.7751034710435</v>
      </c>
    </row>
    <row r="50" spans="1:5" ht="17.25" customHeight="1">
      <c r="A50" s="67" t="s">
        <v>12</v>
      </c>
      <c r="B50" s="68" t="s">
        <v>344</v>
      </c>
      <c r="C50" s="69">
        <f>SUM(C51:C53)</f>
        <v>400</v>
      </c>
      <c r="D50" s="69">
        <f>SUM(D51:D53)</f>
        <v>56.15</v>
      </c>
      <c r="E50" s="90">
        <f t="shared" si="0"/>
        <v>14.0375</v>
      </c>
    </row>
    <row r="51" spans="1:5" ht="18" customHeight="1" hidden="1">
      <c r="A51" s="38" t="s">
        <v>88</v>
      </c>
      <c r="B51" s="36" t="s">
        <v>131</v>
      </c>
      <c r="C51" s="37">
        <f>SUM('Приложение 3'!G333)</f>
        <v>0</v>
      </c>
      <c r="D51" s="37">
        <f>SUM('Приложение 3'!H333)</f>
        <v>0</v>
      </c>
      <c r="E51" s="89" t="e">
        <f t="shared" si="0"/>
        <v>#DIV/0!</v>
      </c>
    </row>
    <row r="52" spans="1:5" ht="15" hidden="1">
      <c r="A52" s="38" t="s">
        <v>126</v>
      </c>
      <c r="B52" s="36" t="s">
        <v>127</v>
      </c>
      <c r="C52" s="37">
        <f>SUM('Приложение 3'!G337)</f>
        <v>0</v>
      </c>
      <c r="D52" s="37">
        <f>SUM('Приложение 3'!H337)</f>
        <v>0</v>
      </c>
      <c r="E52" s="89" t="e">
        <f t="shared" si="0"/>
        <v>#DIV/0!</v>
      </c>
    </row>
    <row r="53" spans="1:5" ht="26.25" customHeight="1">
      <c r="A53" s="38" t="s">
        <v>345</v>
      </c>
      <c r="B53" s="36" t="s">
        <v>89</v>
      </c>
      <c r="C53" s="37">
        <f>SUM('Таблица №6'!F338)</f>
        <v>400</v>
      </c>
      <c r="D53" s="37">
        <f>SUM('Таблица №6'!G338)</f>
        <v>56.15</v>
      </c>
      <c r="E53" s="89">
        <f t="shared" si="0"/>
        <v>14.0375</v>
      </c>
    </row>
    <row r="54" spans="1:5" ht="18" customHeight="1">
      <c r="A54" s="67" t="s">
        <v>13</v>
      </c>
      <c r="B54" s="68" t="s">
        <v>346</v>
      </c>
      <c r="C54" s="69">
        <f>SUM(C55:C56)</f>
        <v>2163.6</v>
      </c>
      <c r="D54" s="69">
        <f>SUM(D55:D56)</f>
        <v>300</v>
      </c>
      <c r="E54" s="90">
        <f t="shared" si="0"/>
        <v>13.865779256794234</v>
      </c>
    </row>
    <row r="55" spans="1:5" ht="18" customHeight="1" hidden="1">
      <c r="A55" s="38" t="s">
        <v>71</v>
      </c>
      <c r="B55" s="36" t="s">
        <v>70</v>
      </c>
      <c r="C55" s="37">
        <v>0</v>
      </c>
      <c r="D55" s="37">
        <v>0</v>
      </c>
      <c r="E55" s="89" t="e">
        <f t="shared" si="0"/>
        <v>#DIV/0!</v>
      </c>
    </row>
    <row r="56" spans="1:5" ht="18" customHeight="1">
      <c r="A56" s="38" t="s">
        <v>347</v>
      </c>
      <c r="B56" s="36" t="s">
        <v>185</v>
      </c>
      <c r="C56" s="37">
        <f>SUM('Приложение 3'!G345)</f>
        <v>2163.6</v>
      </c>
      <c r="D56" s="37">
        <f>SUM('Приложение 3'!H345)</f>
        <v>300</v>
      </c>
      <c r="E56" s="89">
        <f t="shared" si="0"/>
        <v>13.865779256794234</v>
      </c>
    </row>
    <row r="57" spans="1:5" ht="29.25" customHeight="1">
      <c r="A57" s="67" t="s">
        <v>14</v>
      </c>
      <c r="B57" s="68" t="s">
        <v>186</v>
      </c>
      <c r="C57" s="69">
        <f>SUM(C58:C58)</f>
        <v>3276</v>
      </c>
      <c r="D57" s="69">
        <f>SUM(D58:D58)</f>
        <v>331.24056</v>
      </c>
      <c r="E57" s="90">
        <f t="shared" si="0"/>
        <v>10.111128205128207</v>
      </c>
    </row>
    <row r="58" spans="1:5" ht="30">
      <c r="A58" s="67" t="s">
        <v>348</v>
      </c>
      <c r="B58" s="36" t="s">
        <v>223</v>
      </c>
      <c r="C58" s="37">
        <f>SUM('Таблица №6'!F346)</f>
        <v>3276</v>
      </c>
      <c r="D58" s="37">
        <f>SUM('Таблица №6'!G346)</f>
        <v>331.24056</v>
      </c>
      <c r="E58" s="89">
        <f t="shared" si="0"/>
        <v>10.111128205128207</v>
      </c>
    </row>
    <row r="59" spans="1:5" ht="43.5" customHeight="1">
      <c r="A59" s="67" t="s">
        <v>42</v>
      </c>
      <c r="B59" s="68" t="s">
        <v>187</v>
      </c>
      <c r="C59" s="69">
        <f>SUM(C60:C60)</f>
        <v>30095.7467</v>
      </c>
      <c r="D59" s="69">
        <f>SUM(D60:D60)</f>
        <v>3504.041</v>
      </c>
      <c r="E59" s="90">
        <f t="shared" si="0"/>
        <v>11.642977444384194</v>
      </c>
    </row>
    <row r="60" spans="1:5" ht="22.5" customHeight="1">
      <c r="A60" s="38" t="s">
        <v>44</v>
      </c>
      <c r="B60" s="36" t="s">
        <v>43</v>
      </c>
      <c r="C60" s="37">
        <f>SUM('Приложение 3'!G355)</f>
        <v>30095.7467</v>
      </c>
      <c r="D60" s="37">
        <f>SUM('Приложение 3'!H355)</f>
        <v>3504.041</v>
      </c>
      <c r="E60" s="89">
        <f t="shared" si="0"/>
        <v>11.642977444384194</v>
      </c>
    </row>
    <row r="61" spans="1:5" ht="21" customHeight="1">
      <c r="A61" s="70"/>
      <c r="B61" s="71" t="s">
        <v>15</v>
      </c>
      <c r="C61" s="69">
        <f>C9+C19+C21+C24+C28+C31+C33+C39+C45+C50+C54+C57+C59+C43</f>
        <v>715649.7068800002</v>
      </c>
      <c r="D61" s="69">
        <f>D9+D19+D21+D24+D28+D31+D33+D39+D45+D50+D54+D57+D59+D43</f>
        <v>97886.35964999998</v>
      </c>
      <c r="E61" s="90">
        <f t="shared" si="0"/>
        <v>13.67797103931652</v>
      </c>
    </row>
  </sheetData>
  <sheetProtection/>
  <mergeCells count="6">
    <mergeCell ref="C7:D7"/>
    <mergeCell ref="C1:E1"/>
    <mergeCell ref="C2:E2"/>
    <mergeCell ref="A6:E6"/>
    <mergeCell ref="B4:E4"/>
    <mergeCell ref="B5:E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57"/>
  <sheetViews>
    <sheetView showGridLines="0" zoomScale="80" zoomScaleNormal="80" zoomScalePageLayoutView="0" workbookViewId="0" topLeftCell="A1">
      <pane ySplit="9" topLeftCell="BM259" activePane="bottomLeft" state="frozen"/>
      <selection pane="topLeft" activeCell="A1" sqref="A1"/>
      <selection pane="bottomLeft" activeCell="G1" sqref="G1:I1"/>
    </sheetView>
  </sheetViews>
  <sheetFormatPr defaultColWidth="9.140625" defaultRowHeight="12.75" outlineLevelRow="5"/>
  <cols>
    <col min="1" max="1" width="54.421875" style="7" customWidth="1"/>
    <col min="2" max="2" width="5.140625" style="12" customWidth="1"/>
    <col min="3" max="3" width="6.00390625" style="12" customWidth="1"/>
    <col min="4" max="4" width="4.57421875" style="22" customWidth="1"/>
    <col min="5" max="5" width="3.8515625" style="25" customWidth="1"/>
    <col min="6" max="6" width="6.28125" style="11" customWidth="1"/>
    <col min="7" max="7" width="15.421875" style="2" bestFit="1" customWidth="1"/>
    <col min="8" max="8" width="14.57421875" style="2" bestFit="1" customWidth="1"/>
    <col min="9" max="9" width="15.7109375" style="2" customWidth="1"/>
    <col min="10" max="16384" width="9.140625" style="2" customWidth="1"/>
  </cols>
  <sheetData>
    <row r="1" spans="1:9" ht="18">
      <c r="A1"/>
      <c r="D1" s="12"/>
      <c r="E1" s="84"/>
      <c r="F1" s="85"/>
      <c r="G1" s="107" t="s">
        <v>247</v>
      </c>
      <c r="H1" s="107"/>
      <c r="I1" s="107"/>
    </row>
    <row r="2" spans="1:9" ht="18.75">
      <c r="A2"/>
      <c r="D2" s="12"/>
      <c r="E2" s="84"/>
      <c r="F2" s="86"/>
      <c r="G2" s="107" t="s">
        <v>242</v>
      </c>
      <c r="H2" s="107"/>
      <c r="I2" s="107"/>
    </row>
    <row r="3" spans="1:9" ht="18.75">
      <c r="A3"/>
      <c r="D3" s="12"/>
      <c r="E3" s="84"/>
      <c r="F3" s="86"/>
      <c r="G3" s="107" t="s">
        <v>243</v>
      </c>
      <c r="H3" s="107"/>
      <c r="I3" s="107"/>
    </row>
    <row r="4" spans="1:9" ht="18.75" customHeight="1">
      <c r="A4"/>
      <c r="D4" s="12"/>
      <c r="E4" s="86"/>
      <c r="F4" s="86"/>
      <c r="G4" s="107" t="s">
        <v>244</v>
      </c>
      <c r="H4" s="107"/>
      <c r="I4" s="107"/>
    </row>
    <row r="5" spans="1:9" ht="18.75">
      <c r="A5" s="87"/>
      <c r="B5" s="1"/>
      <c r="C5" s="1"/>
      <c r="D5" s="1"/>
      <c r="E5" s="113" t="s">
        <v>245</v>
      </c>
      <c r="F5" s="113"/>
      <c r="G5" s="113"/>
      <c r="H5" s="113"/>
      <c r="I5" s="113"/>
    </row>
    <row r="6" spans="1:9" ht="33.75" customHeight="1">
      <c r="A6" s="112" t="s">
        <v>248</v>
      </c>
      <c r="B6" s="112"/>
      <c r="C6" s="112"/>
      <c r="D6" s="112"/>
      <c r="E6" s="112"/>
      <c r="F6" s="112"/>
      <c r="G6" s="112"/>
      <c r="H6" s="112"/>
      <c r="I6" s="112"/>
    </row>
    <row r="7" spans="1:6" ht="12.75">
      <c r="A7" s="6"/>
      <c r="B7" s="3"/>
      <c r="C7" s="3"/>
      <c r="D7" s="23"/>
      <c r="E7" s="24"/>
      <c r="F7" s="9"/>
    </row>
    <row r="8" spans="1:9" ht="12.75">
      <c r="A8" s="6"/>
      <c r="B8" s="3"/>
      <c r="C8" s="3"/>
      <c r="D8" s="23"/>
      <c r="E8" s="24"/>
      <c r="F8" s="9"/>
      <c r="G8" s="111"/>
      <c r="H8" s="111"/>
      <c r="I8" s="74" t="s">
        <v>139</v>
      </c>
    </row>
    <row r="9" spans="1:9" ht="91.5" customHeight="1">
      <c r="A9" s="92" t="s">
        <v>255</v>
      </c>
      <c r="B9" s="93" t="s">
        <v>51</v>
      </c>
      <c r="C9" s="79" t="s">
        <v>52</v>
      </c>
      <c r="D9" s="94" t="s">
        <v>94</v>
      </c>
      <c r="E9" s="76" t="s">
        <v>262</v>
      </c>
      <c r="F9" s="95" t="s">
        <v>29</v>
      </c>
      <c r="G9" s="96" t="s">
        <v>169</v>
      </c>
      <c r="H9" s="96" t="s">
        <v>241</v>
      </c>
      <c r="I9" s="96" t="s">
        <v>240</v>
      </c>
    </row>
    <row r="10" spans="1:9" ht="15.75" outlineLevel="1">
      <c r="A10" s="39" t="s">
        <v>280</v>
      </c>
      <c r="B10" s="53" t="s">
        <v>281</v>
      </c>
      <c r="C10" s="53"/>
      <c r="D10" s="53"/>
      <c r="E10" s="55" t="s">
        <v>254</v>
      </c>
      <c r="F10" s="54"/>
      <c r="G10" s="91">
        <f>SUM(G11)</f>
        <v>631.2</v>
      </c>
      <c r="H10" s="91">
        <f>SUM(H11)</f>
        <v>167.71894</v>
      </c>
      <c r="I10" s="91">
        <f>SUM(H10/G10)*100</f>
        <v>26.571441698352345</v>
      </c>
    </row>
    <row r="11" spans="1:9" ht="15.75" outlineLevel="1">
      <c r="A11" s="39" t="s">
        <v>350</v>
      </c>
      <c r="B11" s="53" t="s">
        <v>281</v>
      </c>
      <c r="C11" s="53" t="s">
        <v>295</v>
      </c>
      <c r="D11" s="53"/>
      <c r="E11" s="55"/>
      <c r="F11" s="54"/>
      <c r="G11" s="91">
        <f>SUM(G12)</f>
        <v>631.2</v>
      </c>
      <c r="H11" s="91">
        <f>SUM(H12)</f>
        <v>167.71894</v>
      </c>
      <c r="I11" s="91">
        <f aca="true" t="shared" si="0" ref="I11:I74">SUM(H11/G11)*100</f>
        <v>26.571441698352345</v>
      </c>
    </row>
    <row r="12" spans="1:9" ht="38.25" customHeight="1" outlineLevel="2">
      <c r="A12" s="39" t="s">
        <v>279</v>
      </c>
      <c r="B12" s="53" t="s">
        <v>281</v>
      </c>
      <c r="C12" s="53" t="s">
        <v>282</v>
      </c>
      <c r="D12" s="53"/>
      <c r="E12" s="55"/>
      <c r="F12" s="54"/>
      <c r="G12" s="91">
        <f>SUM(G13+G16)</f>
        <v>631.2</v>
      </c>
      <c r="H12" s="91">
        <f>SUM(H13+H16)</f>
        <v>167.71894</v>
      </c>
      <c r="I12" s="91">
        <f t="shared" si="0"/>
        <v>26.571441698352345</v>
      </c>
    </row>
    <row r="13" spans="1:9" ht="23.25" customHeight="1" outlineLevel="2">
      <c r="A13" s="39" t="s">
        <v>353</v>
      </c>
      <c r="B13" s="53" t="s">
        <v>281</v>
      </c>
      <c r="C13" s="53" t="s">
        <v>282</v>
      </c>
      <c r="D13" s="53" t="s">
        <v>265</v>
      </c>
      <c r="E13" s="55" t="s">
        <v>263</v>
      </c>
      <c r="F13" s="54"/>
      <c r="G13" s="91">
        <f>SUM(G14:G15)</f>
        <v>631.2</v>
      </c>
      <c r="H13" s="91">
        <f>SUM(H14:H15)</f>
        <v>167.71894</v>
      </c>
      <c r="I13" s="91">
        <f t="shared" si="0"/>
        <v>26.571441698352345</v>
      </c>
    </row>
    <row r="14" spans="1:9" ht="51" customHeight="1" outlineLevel="2">
      <c r="A14" s="39" t="s">
        <v>351</v>
      </c>
      <c r="B14" s="53" t="s">
        <v>281</v>
      </c>
      <c r="C14" s="53" t="s">
        <v>282</v>
      </c>
      <c r="D14" s="53" t="s">
        <v>265</v>
      </c>
      <c r="E14" s="55" t="s">
        <v>263</v>
      </c>
      <c r="F14" s="54">
        <v>100</v>
      </c>
      <c r="G14" s="91">
        <f>472.2+9.5+78.2-8.38564</f>
        <v>551.51436</v>
      </c>
      <c r="H14" s="91">
        <v>163.81894</v>
      </c>
      <c r="I14" s="91">
        <f t="shared" si="0"/>
        <v>29.703476805209565</v>
      </c>
    </row>
    <row r="15" spans="1:9" s="4" customFormat="1" ht="24" outlineLevel="3">
      <c r="A15" s="39" t="s">
        <v>352</v>
      </c>
      <c r="B15" s="53" t="s">
        <v>281</v>
      </c>
      <c r="C15" s="53" t="s">
        <v>282</v>
      </c>
      <c r="D15" s="53" t="s">
        <v>265</v>
      </c>
      <c r="E15" s="55">
        <v>0</v>
      </c>
      <c r="F15" s="54">
        <v>200</v>
      </c>
      <c r="G15" s="91">
        <f>71.3+8.38564</f>
        <v>79.68563999999999</v>
      </c>
      <c r="H15" s="91">
        <v>3.9</v>
      </c>
      <c r="I15" s="91">
        <f t="shared" si="0"/>
        <v>4.894231884188921</v>
      </c>
    </row>
    <row r="16" spans="1:9" s="4" customFormat="1" ht="24" hidden="1" outlineLevel="3">
      <c r="A16" s="39" t="s">
        <v>30</v>
      </c>
      <c r="B16" s="53" t="s">
        <v>281</v>
      </c>
      <c r="C16" s="53" t="s">
        <v>282</v>
      </c>
      <c r="D16" s="53" t="s">
        <v>270</v>
      </c>
      <c r="E16" s="55">
        <v>0</v>
      </c>
      <c r="F16" s="54"/>
      <c r="G16" s="91">
        <f>SUM(G17)</f>
        <v>0</v>
      </c>
      <c r="H16" s="91">
        <f>SUM(H17)</f>
        <v>0</v>
      </c>
      <c r="I16" s="91">
        <v>0</v>
      </c>
    </row>
    <row r="17" spans="1:9" s="4" customFormat="1" ht="15.75" hidden="1" outlineLevel="3">
      <c r="A17" s="39" t="s">
        <v>19</v>
      </c>
      <c r="B17" s="53" t="s">
        <v>281</v>
      </c>
      <c r="C17" s="53" t="s">
        <v>282</v>
      </c>
      <c r="D17" s="53" t="s">
        <v>270</v>
      </c>
      <c r="E17" s="55">
        <v>0</v>
      </c>
      <c r="F17" s="54">
        <v>800</v>
      </c>
      <c r="G17" s="91">
        <v>0</v>
      </c>
      <c r="H17" s="91">
        <f>0.05+0.05-0.1</f>
        <v>0</v>
      </c>
      <c r="I17" s="91">
        <v>0</v>
      </c>
    </row>
    <row r="18" spans="1:9" s="4" customFormat="1" ht="19.5" customHeight="1" outlineLevel="3">
      <c r="A18" s="39" t="s">
        <v>142</v>
      </c>
      <c r="B18" s="53" t="s">
        <v>284</v>
      </c>
      <c r="C18" s="53"/>
      <c r="D18" s="53"/>
      <c r="E18" s="55"/>
      <c r="F18" s="54"/>
      <c r="G18" s="91">
        <f>SUM(G19)</f>
        <v>1994</v>
      </c>
      <c r="H18" s="91">
        <f>SUM(H19)</f>
        <v>403.81272</v>
      </c>
      <c r="I18" s="91">
        <f t="shared" si="0"/>
        <v>20.251390170511534</v>
      </c>
    </row>
    <row r="19" spans="1:9" s="4" customFormat="1" ht="15.75" outlineLevel="3">
      <c r="A19" s="39" t="s">
        <v>350</v>
      </c>
      <c r="B19" s="53" t="s">
        <v>284</v>
      </c>
      <c r="C19" s="53" t="s">
        <v>295</v>
      </c>
      <c r="D19" s="64"/>
      <c r="E19" s="62"/>
      <c r="F19" s="63"/>
      <c r="G19" s="91">
        <f>SUM(G20)</f>
        <v>1994</v>
      </c>
      <c r="H19" s="91">
        <f>SUM(H20)</f>
        <v>403.81272</v>
      </c>
      <c r="I19" s="91">
        <f t="shared" si="0"/>
        <v>20.251390170511534</v>
      </c>
    </row>
    <row r="20" spans="1:9" s="4" customFormat="1" ht="29.25" customHeight="1" outlineLevel="3">
      <c r="A20" s="39" t="s">
        <v>286</v>
      </c>
      <c r="B20" s="53" t="s">
        <v>284</v>
      </c>
      <c r="C20" s="53" t="s">
        <v>285</v>
      </c>
      <c r="D20" s="53"/>
      <c r="E20" s="55"/>
      <c r="F20" s="54"/>
      <c r="G20" s="91">
        <f>SUM(G21+G24)</f>
        <v>1994</v>
      </c>
      <c r="H20" s="91">
        <f>SUM(H21+H24)</f>
        <v>403.81272</v>
      </c>
      <c r="I20" s="91">
        <f t="shared" si="0"/>
        <v>20.251390170511534</v>
      </c>
    </row>
    <row r="21" spans="1:9" s="4" customFormat="1" ht="29.25" customHeight="1" outlineLevel="3">
      <c r="A21" s="39" t="s">
        <v>353</v>
      </c>
      <c r="B21" s="53" t="s">
        <v>284</v>
      </c>
      <c r="C21" s="53" t="s">
        <v>285</v>
      </c>
      <c r="D21" s="53" t="s">
        <v>265</v>
      </c>
      <c r="E21" s="55" t="s">
        <v>263</v>
      </c>
      <c r="F21" s="54"/>
      <c r="G21" s="91">
        <f>SUM(G22:G23)</f>
        <v>1989</v>
      </c>
      <c r="H21" s="91">
        <f>SUM(H22:H23)</f>
        <v>403.81272</v>
      </c>
      <c r="I21" s="91">
        <f t="shared" si="0"/>
        <v>20.302298642533938</v>
      </c>
    </row>
    <row r="22" spans="1:9" s="4" customFormat="1" ht="45" customHeight="1" outlineLevel="3">
      <c r="A22" s="39" t="s">
        <v>351</v>
      </c>
      <c r="B22" s="53" t="s">
        <v>284</v>
      </c>
      <c r="C22" s="53" t="s">
        <v>285</v>
      </c>
      <c r="D22" s="53" t="s">
        <v>265</v>
      </c>
      <c r="E22" s="55" t="s">
        <v>263</v>
      </c>
      <c r="F22" s="54">
        <v>100</v>
      </c>
      <c r="G22" s="91">
        <f>1627.5+60.8+290.7</f>
        <v>1979</v>
      </c>
      <c r="H22" s="91">
        <v>403.81272</v>
      </c>
      <c r="I22" s="91">
        <f t="shared" si="0"/>
        <v>20.40488731682668</v>
      </c>
    </row>
    <row r="23" spans="1:9" s="4" customFormat="1" ht="24" outlineLevel="3">
      <c r="A23" s="39" t="s">
        <v>352</v>
      </c>
      <c r="B23" s="53" t="s">
        <v>284</v>
      </c>
      <c r="C23" s="53" t="s">
        <v>285</v>
      </c>
      <c r="D23" s="53" t="s">
        <v>265</v>
      </c>
      <c r="E23" s="55">
        <v>0</v>
      </c>
      <c r="F23" s="54">
        <v>200</v>
      </c>
      <c r="G23" s="91">
        <v>10</v>
      </c>
      <c r="H23" s="91">
        <v>0</v>
      </c>
      <c r="I23" s="91">
        <f t="shared" si="0"/>
        <v>0</v>
      </c>
    </row>
    <row r="24" spans="1:9" s="4" customFormat="1" ht="24.75" customHeight="1" outlineLevel="3">
      <c r="A24" s="39" t="s">
        <v>30</v>
      </c>
      <c r="B24" s="53" t="s">
        <v>284</v>
      </c>
      <c r="C24" s="53" t="s">
        <v>285</v>
      </c>
      <c r="D24" s="53" t="s">
        <v>270</v>
      </c>
      <c r="E24" s="55">
        <v>0</v>
      </c>
      <c r="F24" s="54"/>
      <c r="G24" s="91">
        <f>SUM(G25)</f>
        <v>5</v>
      </c>
      <c r="H24" s="91">
        <f>SUM(H25)</f>
        <v>0</v>
      </c>
      <c r="I24" s="91">
        <f t="shared" si="0"/>
        <v>0</v>
      </c>
    </row>
    <row r="25" spans="1:9" s="4" customFormat="1" ht="15.75" outlineLevel="3">
      <c r="A25" s="39" t="s">
        <v>19</v>
      </c>
      <c r="B25" s="53" t="s">
        <v>284</v>
      </c>
      <c r="C25" s="53" t="s">
        <v>285</v>
      </c>
      <c r="D25" s="53" t="s">
        <v>270</v>
      </c>
      <c r="E25" s="55">
        <v>0</v>
      </c>
      <c r="F25" s="54">
        <v>800</v>
      </c>
      <c r="G25" s="91">
        <v>5</v>
      </c>
      <c r="H25" s="91">
        <v>0</v>
      </c>
      <c r="I25" s="91">
        <f t="shared" si="0"/>
        <v>0</v>
      </c>
    </row>
    <row r="26" spans="1:9" s="4" customFormat="1" ht="17.25" customHeight="1" outlineLevel="3">
      <c r="A26" s="39" t="s">
        <v>108</v>
      </c>
      <c r="B26" s="53" t="s">
        <v>293</v>
      </c>
      <c r="C26" s="53"/>
      <c r="D26" s="53"/>
      <c r="E26" s="55"/>
      <c r="F26" s="54"/>
      <c r="G26" s="91">
        <f>SUM(G27+G100+G105+G112+G136+G156+G160+G269+G298+G332+G344+G349+G353+G293)</f>
        <v>713024.5068800001</v>
      </c>
      <c r="H26" s="91">
        <f>SUM(H27+H100+H105+H112+H136+H156+H160+H269+H298+H332+H344+H349+H353+H293)</f>
        <v>97314.82798999999</v>
      </c>
      <c r="I26" s="91">
        <f t="shared" si="0"/>
        <v>13.648174368623458</v>
      </c>
    </row>
    <row r="27" spans="1:9" s="4" customFormat="1" ht="15.75" outlineLevel="3">
      <c r="A27" s="39" t="s">
        <v>350</v>
      </c>
      <c r="B27" s="53" t="s">
        <v>293</v>
      </c>
      <c r="C27" s="53" t="s">
        <v>295</v>
      </c>
      <c r="D27" s="53"/>
      <c r="E27" s="55"/>
      <c r="F27" s="54"/>
      <c r="G27" s="91">
        <f>SUM(G28+G31+G55+G59+G62+G51)</f>
        <v>79623.18487000001</v>
      </c>
      <c r="H27" s="91">
        <f>SUM(H28+H31+H55+H59+H62+H51)</f>
        <v>20101.13547</v>
      </c>
      <c r="I27" s="91">
        <f t="shared" si="0"/>
        <v>25.245329614507288</v>
      </c>
    </row>
    <row r="28" spans="1:9" s="4" customFormat="1" ht="24" outlineLevel="3">
      <c r="A28" s="39" t="s">
        <v>287</v>
      </c>
      <c r="B28" s="53" t="s">
        <v>293</v>
      </c>
      <c r="C28" s="53" t="s">
        <v>296</v>
      </c>
      <c r="D28" s="53"/>
      <c r="E28" s="55"/>
      <c r="F28" s="54"/>
      <c r="G28" s="91">
        <f>SUM(G30)</f>
        <v>2600</v>
      </c>
      <c r="H28" s="91">
        <f>SUM(H30)</f>
        <v>429.6834</v>
      </c>
      <c r="I28" s="91">
        <f t="shared" si="0"/>
        <v>16.526284615384615</v>
      </c>
    </row>
    <row r="29" spans="1:9" s="4" customFormat="1" ht="27.75" customHeight="1" outlineLevel="3">
      <c r="A29" s="39" t="s">
        <v>353</v>
      </c>
      <c r="B29" s="53" t="s">
        <v>293</v>
      </c>
      <c r="C29" s="53" t="s">
        <v>296</v>
      </c>
      <c r="D29" s="53" t="s">
        <v>265</v>
      </c>
      <c r="E29" s="55" t="s">
        <v>263</v>
      </c>
      <c r="F29" s="54"/>
      <c r="G29" s="91">
        <f>SUM(G30)</f>
        <v>2600</v>
      </c>
      <c r="H29" s="91">
        <f>SUM(H30)</f>
        <v>429.6834</v>
      </c>
      <c r="I29" s="91">
        <f t="shared" si="0"/>
        <v>16.526284615384615</v>
      </c>
    </row>
    <row r="30" spans="1:9" ht="48.75" customHeight="1" outlineLevel="1">
      <c r="A30" s="39" t="s">
        <v>351</v>
      </c>
      <c r="B30" s="53" t="s">
        <v>293</v>
      </c>
      <c r="C30" s="53" t="s">
        <v>296</v>
      </c>
      <c r="D30" s="53" t="s">
        <v>265</v>
      </c>
      <c r="E30" s="55">
        <v>0</v>
      </c>
      <c r="F30" s="54">
        <v>100</v>
      </c>
      <c r="G30" s="91">
        <f>2080+43+477</f>
        <v>2600</v>
      </c>
      <c r="H30" s="91">
        <v>429.6834</v>
      </c>
      <c r="I30" s="91">
        <f t="shared" si="0"/>
        <v>16.526284615384615</v>
      </c>
    </row>
    <row r="31" spans="1:9" ht="36.75" customHeight="1" outlineLevel="2">
      <c r="A31" s="40" t="s">
        <v>288</v>
      </c>
      <c r="B31" s="53" t="s">
        <v>293</v>
      </c>
      <c r="C31" s="53" t="s">
        <v>294</v>
      </c>
      <c r="D31" s="53"/>
      <c r="E31" s="55"/>
      <c r="F31" s="54"/>
      <c r="G31" s="91">
        <f>SUM(G32+G49)</f>
        <v>39535.3</v>
      </c>
      <c r="H31" s="91">
        <f>SUM(H32+H49)</f>
        <v>6985.3019300000005</v>
      </c>
      <c r="I31" s="91">
        <f t="shared" si="0"/>
        <v>17.66851884265454</v>
      </c>
    </row>
    <row r="32" spans="1:9" s="4" customFormat="1" ht="27" customHeight="1" outlineLevel="3">
      <c r="A32" s="39" t="s">
        <v>353</v>
      </c>
      <c r="B32" s="53" t="s">
        <v>293</v>
      </c>
      <c r="C32" s="53" t="s">
        <v>294</v>
      </c>
      <c r="D32" s="53" t="s">
        <v>265</v>
      </c>
      <c r="E32" s="55">
        <v>0</v>
      </c>
      <c r="F32" s="54"/>
      <c r="G32" s="91">
        <f>SUM(G33+G36)</f>
        <v>39485.3</v>
      </c>
      <c r="H32" s="91">
        <f>SUM(H33+H36)</f>
        <v>6985.3019300000005</v>
      </c>
      <c r="I32" s="91">
        <f t="shared" si="0"/>
        <v>17.69089238273484</v>
      </c>
    </row>
    <row r="33" spans="1:9" ht="15.75" outlineLevel="1">
      <c r="A33" s="40" t="s">
        <v>257</v>
      </c>
      <c r="B33" s="53" t="s">
        <v>293</v>
      </c>
      <c r="C33" s="53" t="s">
        <v>294</v>
      </c>
      <c r="D33" s="53" t="s">
        <v>265</v>
      </c>
      <c r="E33" s="55">
        <v>0</v>
      </c>
      <c r="F33" s="54"/>
      <c r="G33" s="91">
        <f>SUM(G34:G35)</f>
        <v>37311.8</v>
      </c>
      <c r="H33" s="91">
        <f>SUM(H34:H35)</f>
        <v>6618.3226</v>
      </c>
      <c r="I33" s="91">
        <f t="shared" si="0"/>
        <v>17.73788077766283</v>
      </c>
    </row>
    <row r="34" spans="1:9" ht="49.5" customHeight="1" outlineLevel="2">
      <c r="A34" s="40" t="s">
        <v>351</v>
      </c>
      <c r="B34" s="53" t="s">
        <v>293</v>
      </c>
      <c r="C34" s="53" t="s">
        <v>294</v>
      </c>
      <c r="D34" s="53" t="s">
        <v>265</v>
      </c>
      <c r="E34" s="55">
        <v>0</v>
      </c>
      <c r="F34" s="54">
        <v>100</v>
      </c>
      <c r="G34" s="91">
        <f>29836.85+2571.95+100+3103</f>
        <v>35611.8</v>
      </c>
      <c r="H34" s="91">
        <v>6508.88413</v>
      </c>
      <c r="I34" s="91">
        <f t="shared" si="0"/>
        <v>18.277324173448125</v>
      </c>
    </row>
    <row r="35" spans="1:9" ht="24">
      <c r="A35" s="40" t="s">
        <v>352</v>
      </c>
      <c r="B35" s="53" t="s">
        <v>293</v>
      </c>
      <c r="C35" s="53" t="s">
        <v>294</v>
      </c>
      <c r="D35" s="53" t="s">
        <v>265</v>
      </c>
      <c r="E35" s="55">
        <v>0</v>
      </c>
      <c r="F35" s="54">
        <v>200</v>
      </c>
      <c r="G35" s="91">
        <f>1800-100</f>
        <v>1700</v>
      </c>
      <c r="H35" s="91">
        <v>109.43847</v>
      </c>
      <c r="I35" s="91">
        <f t="shared" si="0"/>
        <v>6.437557058823529</v>
      </c>
    </row>
    <row r="36" spans="1:9" ht="23.25" customHeight="1" outlineLevel="2">
      <c r="A36" s="39" t="s">
        <v>353</v>
      </c>
      <c r="B36" s="53" t="s">
        <v>293</v>
      </c>
      <c r="C36" s="53" t="s">
        <v>294</v>
      </c>
      <c r="D36" s="53" t="s">
        <v>265</v>
      </c>
      <c r="E36" s="55" t="s">
        <v>263</v>
      </c>
      <c r="F36" s="54"/>
      <c r="G36" s="97">
        <f>SUM(G37+G40+G43+G46)</f>
        <v>2173.5</v>
      </c>
      <c r="H36" s="97">
        <f>SUM(H37+H40+H43+H46)</f>
        <v>366.97933</v>
      </c>
      <c r="I36" s="91">
        <f t="shared" si="0"/>
        <v>16.884257188865885</v>
      </c>
    </row>
    <row r="37" spans="1:9" ht="31.5" customHeight="1" outlineLevel="1">
      <c r="A37" s="39" t="s">
        <v>354</v>
      </c>
      <c r="B37" s="53" t="s">
        <v>293</v>
      </c>
      <c r="C37" s="53" t="s">
        <v>294</v>
      </c>
      <c r="D37" s="53" t="s">
        <v>265</v>
      </c>
      <c r="E37" s="55" t="s">
        <v>263</v>
      </c>
      <c r="F37" s="54"/>
      <c r="G37" s="91">
        <f>SUM(G38:G39)</f>
        <v>368.6</v>
      </c>
      <c r="H37" s="91">
        <f>SUM(H38:H39)</f>
        <v>83.78914</v>
      </c>
      <c r="I37" s="91">
        <f t="shared" si="0"/>
        <v>22.731725447639718</v>
      </c>
    </row>
    <row r="38" spans="1:9" ht="47.25" customHeight="1" outlineLevel="5">
      <c r="A38" s="39" t="s">
        <v>351</v>
      </c>
      <c r="B38" s="53" t="s">
        <v>293</v>
      </c>
      <c r="C38" s="53" t="s">
        <v>294</v>
      </c>
      <c r="D38" s="53" t="s">
        <v>265</v>
      </c>
      <c r="E38" s="55" t="s">
        <v>263</v>
      </c>
      <c r="F38" s="54">
        <v>100</v>
      </c>
      <c r="G38" s="97">
        <v>368.6</v>
      </c>
      <c r="H38" s="97">
        <v>83.78914</v>
      </c>
      <c r="I38" s="91">
        <f t="shared" si="0"/>
        <v>22.731725447639718</v>
      </c>
    </row>
    <row r="39" spans="1:9" ht="24" hidden="1" outlineLevel="5">
      <c r="A39" s="39" t="s">
        <v>352</v>
      </c>
      <c r="B39" s="53" t="s">
        <v>293</v>
      </c>
      <c r="C39" s="53" t="s">
        <v>294</v>
      </c>
      <c r="D39" s="53" t="s">
        <v>265</v>
      </c>
      <c r="E39" s="55" t="s">
        <v>263</v>
      </c>
      <c r="F39" s="54">
        <v>200</v>
      </c>
      <c r="G39" s="97">
        <v>0</v>
      </c>
      <c r="H39" s="97">
        <v>0</v>
      </c>
      <c r="I39" s="91" t="e">
        <f t="shared" si="0"/>
        <v>#DIV/0!</v>
      </c>
    </row>
    <row r="40" spans="1:9" ht="27" customHeight="1" outlineLevel="5">
      <c r="A40" s="39" t="s">
        <v>355</v>
      </c>
      <c r="B40" s="53" t="s">
        <v>293</v>
      </c>
      <c r="C40" s="53" t="s">
        <v>294</v>
      </c>
      <c r="D40" s="53" t="s">
        <v>265</v>
      </c>
      <c r="E40" s="55" t="s">
        <v>263</v>
      </c>
      <c r="F40" s="54"/>
      <c r="G40" s="91">
        <f>SUM(G41:G42)</f>
        <v>825.8</v>
      </c>
      <c r="H40" s="91">
        <f>SUM(H41:H42)</f>
        <v>154.88013</v>
      </c>
      <c r="I40" s="91">
        <f t="shared" si="0"/>
        <v>18.75516226689271</v>
      </c>
    </row>
    <row r="41" spans="1:9" ht="47.25" customHeight="1" outlineLevel="2">
      <c r="A41" s="39" t="s">
        <v>351</v>
      </c>
      <c r="B41" s="53" t="s">
        <v>293</v>
      </c>
      <c r="C41" s="53" t="s">
        <v>294</v>
      </c>
      <c r="D41" s="53" t="s">
        <v>265</v>
      </c>
      <c r="E41" s="55" t="s">
        <v>263</v>
      </c>
      <c r="F41" s="54">
        <v>100</v>
      </c>
      <c r="G41" s="91">
        <v>815.8</v>
      </c>
      <c r="H41" s="91">
        <v>154.88013</v>
      </c>
      <c r="I41" s="91">
        <f t="shared" si="0"/>
        <v>18.98506128953175</v>
      </c>
    </row>
    <row r="42" spans="1:9" ht="24" outlineLevel="4">
      <c r="A42" s="39" t="s">
        <v>352</v>
      </c>
      <c r="B42" s="53" t="s">
        <v>293</v>
      </c>
      <c r="C42" s="53" t="s">
        <v>294</v>
      </c>
      <c r="D42" s="53" t="s">
        <v>265</v>
      </c>
      <c r="E42" s="55" t="s">
        <v>263</v>
      </c>
      <c r="F42" s="54">
        <v>200</v>
      </c>
      <c r="G42" s="91">
        <v>10</v>
      </c>
      <c r="H42" s="91">
        <v>0</v>
      </c>
      <c r="I42" s="91">
        <f t="shared" si="0"/>
        <v>0</v>
      </c>
    </row>
    <row r="43" spans="1:9" s="16" customFormat="1" ht="33.75" customHeight="1" outlineLevel="5">
      <c r="A43" s="39" t="s">
        <v>97</v>
      </c>
      <c r="B43" s="53" t="s">
        <v>293</v>
      </c>
      <c r="C43" s="53" t="s">
        <v>294</v>
      </c>
      <c r="D43" s="53" t="s">
        <v>265</v>
      </c>
      <c r="E43" s="55" t="s">
        <v>263</v>
      </c>
      <c r="F43" s="54"/>
      <c r="G43" s="91">
        <f>SUM(G44:G45)</f>
        <v>387.6</v>
      </c>
      <c r="H43" s="91">
        <f>SUM(H44:H45)</f>
        <v>103.29526</v>
      </c>
      <c r="I43" s="91">
        <f t="shared" si="0"/>
        <v>26.649963880288958</v>
      </c>
    </row>
    <row r="44" spans="1:9" ht="45" customHeight="1" outlineLevel="5">
      <c r="A44" s="39" t="s">
        <v>351</v>
      </c>
      <c r="B44" s="53" t="s">
        <v>293</v>
      </c>
      <c r="C44" s="53" t="s">
        <v>294</v>
      </c>
      <c r="D44" s="53" t="s">
        <v>265</v>
      </c>
      <c r="E44" s="55" t="s">
        <v>263</v>
      </c>
      <c r="F44" s="54">
        <v>100</v>
      </c>
      <c r="G44" s="97">
        <v>387.6</v>
      </c>
      <c r="H44" s="97">
        <v>103.29526</v>
      </c>
      <c r="I44" s="91">
        <f t="shared" si="0"/>
        <v>26.649963880288958</v>
      </c>
    </row>
    <row r="45" spans="1:9" ht="24" hidden="1" outlineLevel="4">
      <c r="A45" s="39" t="s">
        <v>352</v>
      </c>
      <c r="B45" s="53" t="s">
        <v>293</v>
      </c>
      <c r="C45" s="53" t="s">
        <v>294</v>
      </c>
      <c r="D45" s="53" t="s">
        <v>265</v>
      </c>
      <c r="E45" s="55" t="s">
        <v>263</v>
      </c>
      <c r="F45" s="54">
        <v>200</v>
      </c>
      <c r="G45" s="97">
        <v>0</v>
      </c>
      <c r="H45" s="97">
        <v>0</v>
      </c>
      <c r="I45" s="91" t="e">
        <f t="shared" si="0"/>
        <v>#DIV/0!</v>
      </c>
    </row>
    <row r="46" spans="1:9" ht="39" customHeight="1" outlineLevel="5">
      <c r="A46" s="39" t="s">
        <v>196</v>
      </c>
      <c r="B46" s="53" t="s">
        <v>293</v>
      </c>
      <c r="C46" s="53" t="s">
        <v>294</v>
      </c>
      <c r="D46" s="53" t="s">
        <v>265</v>
      </c>
      <c r="E46" s="55" t="s">
        <v>263</v>
      </c>
      <c r="F46" s="54"/>
      <c r="G46" s="91">
        <f>SUM(G47:G48)</f>
        <v>591.5</v>
      </c>
      <c r="H46" s="91">
        <f>SUM(H47:H48)</f>
        <v>25.0148</v>
      </c>
      <c r="I46" s="91">
        <f t="shared" si="0"/>
        <v>4.229044801352494</v>
      </c>
    </row>
    <row r="47" spans="1:9" ht="48" outlineLevel="5">
      <c r="A47" s="39" t="s">
        <v>351</v>
      </c>
      <c r="B47" s="53" t="s">
        <v>293</v>
      </c>
      <c r="C47" s="53" t="s">
        <v>294</v>
      </c>
      <c r="D47" s="53" t="s">
        <v>265</v>
      </c>
      <c r="E47" s="55" t="s">
        <v>263</v>
      </c>
      <c r="F47" s="54">
        <v>100</v>
      </c>
      <c r="G47" s="91">
        <v>92.5</v>
      </c>
      <c r="H47" s="91">
        <v>0</v>
      </c>
      <c r="I47" s="91">
        <f t="shared" si="0"/>
        <v>0</v>
      </c>
    </row>
    <row r="48" spans="1:9" ht="24" outlineLevel="5">
      <c r="A48" s="39" t="s">
        <v>352</v>
      </c>
      <c r="B48" s="53" t="s">
        <v>293</v>
      </c>
      <c r="C48" s="53" t="s">
        <v>294</v>
      </c>
      <c r="D48" s="53" t="s">
        <v>265</v>
      </c>
      <c r="E48" s="55" t="s">
        <v>263</v>
      </c>
      <c r="F48" s="54">
        <v>200</v>
      </c>
      <c r="G48" s="91">
        <f>591.5-G47</f>
        <v>499</v>
      </c>
      <c r="H48" s="91">
        <v>25.0148</v>
      </c>
      <c r="I48" s="91">
        <f t="shared" si="0"/>
        <v>5.0129859719438885</v>
      </c>
    </row>
    <row r="49" spans="1:9" ht="36" outlineLevel="2">
      <c r="A49" s="39" t="s">
        <v>203</v>
      </c>
      <c r="B49" s="53" t="s">
        <v>293</v>
      </c>
      <c r="C49" s="53" t="s">
        <v>294</v>
      </c>
      <c r="D49" s="53" t="s">
        <v>256</v>
      </c>
      <c r="E49" s="55">
        <v>0</v>
      </c>
      <c r="F49" s="54"/>
      <c r="G49" s="91">
        <f>SUM(G50)</f>
        <v>50</v>
      </c>
      <c r="H49" s="91">
        <f>SUM(H50)</f>
        <v>0</v>
      </c>
      <c r="I49" s="91">
        <f t="shared" si="0"/>
        <v>0</v>
      </c>
    </row>
    <row r="50" spans="1:9" ht="24" outlineLevel="2">
      <c r="A50" s="39" t="s">
        <v>352</v>
      </c>
      <c r="B50" s="53" t="s">
        <v>293</v>
      </c>
      <c r="C50" s="53" t="s">
        <v>294</v>
      </c>
      <c r="D50" s="53" t="s">
        <v>256</v>
      </c>
      <c r="E50" s="55">
        <v>0</v>
      </c>
      <c r="F50" s="54">
        <v>200</v>
      </c>
      <c r="G50" s="91">
        <f>50</f>
        <v>50</v>
      </c>
      <c r="H50" s="91">
        <v>0</v>
      </c>
      <c r="I50" s="91">
        <f t="shared" si="0"/>
        <v>0</v>
      </c>
    </row>
    <row r="51" spans="1:9" ht="15.75" outlineLevel="2">
      <c r="A51" s="39" t="s">
        <v>289</v>
      </c>
      <c r="B51" s="53" t="s">
        <v>293</v>
      </c>
      <c r="C51" s="53" t="s">
        <v>297</v>
      </c>
      <c r="D51" s="53"/>
      <c r="E51" s="55"/>
      <c r="F51" s="54"/>
      <c r="G51" s="91">
        <f aca="true" t="shared" si="1" ref="G51:H53">SUM(G52)</f>
        <v>2.8</v>
      </c>
      <c r="H51" s="91">
        <f t="shared" si="1"/>
        <v>0</v>
      </c>
      <c r="I51" s="91">
        <f t="shared" si="0"/>
        <v>0</v>
      </c>
    </row>
    <row r="52" spans="1:9" ht="24" outlineLevel="2">
      <c r="A52" s="39" t="s">
        <v>72</v>
      </c>
      <c r="B52" s="53" t="s">
        <v>293</v>
      </c>
      <c r="C52" s="53" t="s">
        <v>297</v>
      </c>
      <c r="D52" s="53" t="s">
        <v>270</v>
      </c>
      <c r="E52" s="55">
        <v>0</v>
      </c>
      <c r="F52" s="54"/>
      <c r="G52" s="91">
        <f t="shared" si="1"/>
        <v>2.8</v>
      </c>
      <c r="H52" s="91">
        <f t="shared" si="1"/>
        <v>0</v>
      </c>
      <c r="I52" s="91">
        <f t="shared" si="0"/>
        <v>0</v>
      </c>
    </row>
    <row r="53" spans="1:9" ht="24" outlineLevel="2">
      <c r="A53" s="39" t="s">
        <v>30</v>
      </c>
      <c r="B53" s="53" t="s">
        <v>293</v>
      </c>
      <c r="C53" s="53" t="s">
        <v>297</v>
      </c>
      <c r="D53" s="53" t="s">
        <v>270</v>
      </c>
      <c r="E53" s="55">
        <v>0</v>
      </c>
      <c r="F53" s="54"/>
      <c r="G53" s="91">
        <f t="shared" si="1"/>
        <v>2.8</v>
      </c>
      <c r="H53" s="91">
        <f t="shared" si="1"/>
        <v>0</v>
      </c>
      <c r="I53" s="91">
        <f t="shared" si="0"/>
        <v>0</v>
      </c>
    </row>
    <row r="54" spans="1:9" ht="19.5" customHeight="1" outlineLevel="2">
      <c r="A54" s="39" t="s">
        <v>352</v>
      </c>
      <c r="B54" s="53" t="s">
        <v>293</v>
      </c>
      <c r="C54" s="53" t="s">
        <v>297</v>
      </c>
      <c r="D54" s="53" t="s">
        <v>270</v>
      </c>
      <c r="E54" s="55">
        <v>0</v>
      </c>
      <c r="F54" s="54">
        <v>200</v>
      </c>
      <c r="G54" s="91">
        <v>2.8</v>
      </c>
      <c r="H54" s="91">
        <v>0</v>
      </c>
      <c r="I54" s="91">
        <f t="shared" si="0"/>
        <v>0</v>
      </c>
    </row>
    <row r="55" spans="1:9" ht="0.75" customHeight="1" hidden="1" outlineLevel="2" collapsed="1">
      <c r="A55" s="39" t="s">
        <v>290</v>
      </c>
      <c r="B55" s="53" t="s">
        <v>293</v>
      </c>
      <c r="C55" s="53" t="s">
        <v>298</v>
      </c>
      <c r="D55" s="53"/>
      <c r="E55" s="55"/>
      <c r="F55" s="54"/>
      <c r="G55" s="91">
        <f aca="true" t="shared" si="2" ref="G55:H57">SUM(G56)</f>
        <v>0</v>
      </c>
      <c r="H55" s="91">
        <f t="shared" si="2"/>
        <v>0</v>
      </c>
      <c r="I55" s="91" t="e">
        <f t="shared" si="0"/>
        <v>#DIV/0!</v>
      </c>
    </row>
    <row r="56" spans="1:9" ht="15.75" hidden="1" outlineLevel="5">
      <c r="A56" s="39" t="s">
        <v>291</v>
      </c>
      <c r="B56" s="53" t="s">
        <v>293</v>
      </c>
      <c r="C56" s="53" t="s">
        <v>298</v>
      </c>
      <c r="D56" s="53" t="s">
        <v>270</v>
      </c>
      <c r="E56" s="55" t="s">
        <v>263</v>
      </c>
      <c r="F56" s="54"/>
      <c r="G56" s="91">
        <f t="shared" si="2"/>
        <v>0</v>
      </c>
      <c r="H56" s="91">
        <f t="shared" si="2"/>
        <v>0</v>
      </c>
      <c r="I56" s="91" t="e">
        <f t="shared" si="0"/>
        <v>#DIV/0!</v>
      </c>
    </row>
    <row r="57" spans="1:9" ht="24" hidden="1" outlineLevel="2">
      <c r="A57" s="39" t="s">
        <v>30</v>
      </c>
      <c r="B57" s="53" t="s">
        <v>293</v>
      </c>
      <c r="C57" s="53" t="s">
        <v>298</v>
      </c>
      <c r="D57" s="53" t="s">
        <v>270</v>
      </c>
      <c r="E57" s="55" t="s">
        <v>263</v>
      </c>
      <c r="F57" s="54"/>
      <c r="G57" s="91">
        <f t="shared" si="2"/>
        <v>0</v>
      </c>
      <c r="H57" s="91">
        <f t="shared" si="2"/>
        <v>0</v>
      </c>
      <c r="I57" s="91" t="e">
        <f t="shared" si="0"/>
        <v>#DIV/0!</v>
      </c>
    </row>
    <row r="58" spans="1:9" ht="24" hidden="1" outlineLevel="5">
      <c r="A58" s="39" t="s">
        <v>352</v>
      </c>
      <c r="B58" s="53" t="s">
        <v>293</v>
      </c>
      <c r="C58" s="53" t="s">
        <v>298</v>
      </c>
      <c r="D58" s="53" t="s">
        <v>270</v>
      </c>
      <c r="E58" s="55">
        <v>0</v>
      </c>
      <c r="F58" s="54">
        <v>200</v>
      </c>
      <c r="G58" s="91">
        <v>0</v>
      </c>
      <c r="H58" s="91">
        <v>0</v>
      </c>
      <c r="I58" s="91" t="e">
        <f t="shared" si="0"/>
        <v>#DIV/0!</v>
      </c>
    </row>
    <row r="59" spans="1:9" ht="15.75" outlineLevel="1">
      <c r="A59" s="39" t="s">
        <v>292</v>
      </c>
      <c r="B59" s="53" t="s">
        <v>293</v>
      </c>
      <c r="C59" s="53" t="s">
        <v>299</v>
      </c>
      <c r="D59" s="53"/>
      <c r="E59" s="55"/>
      <c r="F59" s="54"/>
      <c r="G59" s="91">
        <f>SUM(G60)</f>
        <v>320</v>
      </c>
      <c r="H59" s="91">
        <f>SUM(H60)</f>
        <v>0</v>
      </c>
      <c r="I59" s="91">
        <f t="shared" si="0"/>
        <v>0</v>
      </c>
    </row>
    <row r="60" spans="1:9" ht="29.25" customHeight="1" outlineLevel="2">
      <c r="A60" s="39" t="s">
        <v>30</v>
      </c>
      <c r="B60" s="53" t="s">
        <v>293</v>
      </c>
      <c r="C60" s="53" t="s">
        <v>299</v>
      </c>
      <c r="D60" s="53" t="s">
        <v>270</v>
      </c>
      <c r="E60" s="55" t="s">
        <v>263</v>
      </c>
      <c r="F60" s="54"/>
      <c r="G60" s="91">
        <f>SUM(G61)</f>
        <v>320</v>
      </c>
      <c r="H60" s="91">
        <f>SUM(H61)</f>
        <v>0</v>
      </c>
      <c r="I60" s="91">
        <f t="shared" si="0"/>
        <v>0</v>
      </c>
    </row>
    <row r="61" spans="1:9" ht="15.75" outlineLevel="2">
      <c r="A61" s="39" t="s">
        <v>19</v>
      </c>
      <c r="B61" s="53" t="s">
        <v>293</v>
      </c>
      <c r="C61" s="53" t="s">
        <v>299</v>
      </c>
      <c r="D61" s="53" t="s">
        <v>270</v>
      </c>
      <c r="E61" s="55" t="s">
        <v>263</v>
      </c>
      <c r="F61" s="54">
        <v>800</v>
      </c>
      <c r="G61" s="91">
        <v>320</v>
      </c>
      <c r="H61" s="91">
        <v>0</v>
      </c>
      <c r="I61" s="91">
        <f t="shared" si="0"/>
        <v>0</v>
      </c>
    </row>
    <row r="62" spans="1:9" ht="15.75" outlineLevel="2">
      <c r="A62" s="39" t="s">
        <v>300</v>
      </c>
      <c r="B62" s="53" t="s">
        <v>293</v>
      </c>
      <c r="C62" s="53" t="s">
        <v>283</v>
      </c>
      <c r="D62" s="53"/>
      <c r="E62" s="55"/>
      <c r="F62" s="54"/>
      <c r="G62" s="91">
        <f>SUM(G63+G68+G74+G83+G85+G89+G92+G99+G81+G71+G79+G96)</f>
        <v>37165.08487</v>
      </c>
      <c r="H62" s="91">
        <f>SUM(H63+H68+H74+H83+H85+H89+H92+H99+H81+H71+H79+H96)</f>
        <v>12686.150140000002</v>
      </c>
      <c r="I62" s="91">
        <f t="shared" si="0"/>
        <v>34.134592143069156</v>
      </c>
    </row>
    <row r="63" spans="1:9" ht="33.75" customHeight="1" outlineLevel="2">
      <c r="A63" s="39" t="s">
        <v>171</v>
      </c>
      <c r="B63" s="53" t="s">
        <v>293</v>
      </c>
      <c r="C63" s="53" t="s">
        <v>283</v>
      </c>
      <c r="D63" s="53" t="s">
        <v>260</v>
      </c>
      <c r="E63" s="55">
        <v>0</v>
      </c>
      <c r="F63" s="54"/>
      <c r="G63" s="91">
        <f>SUM(G66+G64)</f>
        <v>298</v>
      </c>
      <c r="H63" s="91">
        <f>SUM(H66+H64)</f>
        <v>154</v>
      </c>
      <c r="I63" s="91">
        <f t="shared" si="0"/>
        <v>51.67785234899329</v>
      </c>
    </row>
    <row r="64" spans="1:9" ht="0.75" customHeight="1" hidden="1" outlineLevel="2">
      <c r="A64" s="39" t="s">
        <v>76</v>
      </c>
      <c r="B64" s="53" t="s">
        <v>293</v>
      </c>
      <c r="C64" s="53" t="s">
        <v>283</v>
      </c>
      <c r="D64" s="53" t="s">
        <v>260</v>
      </c>
      <c r="E64" s="55">
        <v>3</v>
      </c>
      <c r="F64" s="54"/>
      <c r="G64" s="91">
        <f>SUM(G65:G65)</f>
        <v>0</v>
      </c>
      <c r="H64" s="91">
        <f>SUM(H65:H65)</f>
        <v>0</v>
      </c>
      <c r="I64" s="91" t="e">
        <f t="shared" si="0"/>
        <v>#DIV/0!</v>
      </c>
    </row>
    <row r="65" spans="1:9" ht="24" hidden="1" outlineLevel="2">
      <c r="A65" s="39" t="s">
        <v>31</v>
      </c>
      <c r="B65" s="53" t="s">
        <v>293</v>
      </c>
      <c r="C65" s="53" t="s">
        <v>283</v>
      </c>
      <c r="D65" s="53" t="s">
        <v>260</v>
      </c>
      <c r="E65" s="55">
        <v>3</v>
      </c>
      <c r="F65" s="54">
        <v>600</v>
      </c>
      <c r="G65" s="91">
        <v>0</v>
      </c>
      <c r="H65" s="91">
        <v>0</v>
      </c>
      <c r="I65" s="91" t="e">
        <f t="shared" si="0"/>
        <v>#DIV/0!</v>
      </c>
    </row>
    <row r="66" spans="1:9" ht="24" outlineLevel="2">
      <c r="A66" s="39" t="s">
        <v>59</v>
      </c>
      <c r="B66" s="53" t="s">
        <v>293</v>
      </c>
      <c r="C66" s="53" t="s">
        <v>283</v>
      </c>
      <c r="D66" s="53" t="s">
        <v>260</v>
      </c>
      <c r="E66" s="55">
        <v>4</v>
      </c>
      <c r="F66" s="54"/>
      <c r="G66" s="91">
        <f>SUM(G67)</f>
        <v>298</v>
      </c>
      <c r="H66" s="91">
        <f>SUM(H67)</f>
        <v>154</v>
      </c>
      <c r="I66" s="91">
        <f t="shared" si="0"/>
        <v>51.67785234899329</v>
      </c>
    </row>
    <row r="67" spans="1:9" ht="24" customHeight="1" outlineLevel="2">
      <c r="A67" s="39" t="s">
        <v>31</v>
      </c>
      <c r="B67" s="53" t="s">
        <v>293</v>
      </c>
      <c r="C67" s="53" t="s">
        <v>283</v>
      </c>
      <c r="D67" s="53" t="s">
        <v>260</v>
      </c>
      <c r="E67" s="55">
        <v>4</v>
      </c>
      <c r="F67" s="54">
        <v>600</v>
      </c>
      <c r="G67" s="91">
        <f>150+148</f>
        <v>298</v>
      </c>
      <c r="H67" s="91">
        <v>154</v>
      </c>
      <c r="I67" s="91">
        <f t="shared" si="0"/>
        <v>51.67785234899329</v>
      </c>
    </row>
    <row r="68" spans="1:9" ht="49.5" customHeight="1" outlineLevel="2">
      <c r="A68" s="40" t="s">
        <v>183</v>
      </c>
      <c r="B68" s="53" t="s">
        <v>293</v>
      </c>
      <c r="C68" s="53" t="s">
        <v>283</v>
      </c>
      <c r="D68" s="53" t="s">
        <v>278</v>
      </c>
      <c r="E68" s="55">
        <v>0</v>
      </c>
      <c r="F68" s="54"/>
      <c r="G68" s="91">
        <f>SUM(G69)</f>
        <v>139.2</v>
      </c>
      <c r="H68" s="91">
        <f>SUM(H69)</f>
        <v>0</v>
      </c>
      <c r="I68" s="91">
        <f t="shared" si="0"/>
        <v>0</v>
      </c>
    </row>
    <row r="69" spans="1:9" ht="24" customHeight="1" outlineLevel="2">
      <c r="A69" s="39" t="s">
        <v>38</v>
      </c>
      <c r="B69" s="53" t="s">
        <v>293</v>
      </c>
      <c r="C69" s="53" t="s">
        <v>283</v>
      </c>
      <c r="D69" s="53" t="s">
        <v>278</v>
      </c>
      <c r="E69" s="55">
        <v>2</v>
      </c>
      <c r="F69" s="54"/>
      <c r="G69" s="91">
        <f>SUM(G70)</f>
        <v>139.2</v>
      </c>
      <c r="H69" s="91">
        <f>SUM(H70)</f>
        <v>0</v>
      </c>
      <c r="I69" s="91">
        <f t="shared" si="0"/>
        <v>0</v>
      </c>
    </row>
    <row r="70" spans="1:9" ht="61.5" customHeight="1" outlineLevel="2">
      <c r="A70" s="39" t="s">
        <v>234</v>
      </c>
      <c r="B70" s="53" t="s">
        <v>293</v>
      </c>
      <c r="C70" s="53" t="s">
        <v>283</v>
      </c>
      <c r="D70" s="53" t="s">
        <v>278</v>
      </c>
      <c r="E70" s="55">
        <v>2</v>
      </c>
      <c r="F70" s="54">
        <v>200</v>
      </c>
      <c r="G70" s="91">
        <v>139.2</v>
      </c>
      <c r="H70" s="91">
        <v>0</v>
      </c>
      <c r="I70" s="91">
        <f t="shared" si="0"/>
        <v>0</v>
      </c>
    </row>
    <row r="71" spans="1:9" ht="15.75" outlineLevel="2">
      <c r="A71" s="39" t="s">
        <v>201</v>
      </c>
      <c r="B71" s="53" t="s">
        <v>293</v>
      </c>
      <c r="C71" s="53" t="s">
        <v>283</v>
      </c>
      <c r="D71" s="53" t="s">
        <v>264</v>
      </c>
      <c r="E71" s="55">
        <v>0</v>
      </c>
      <c r="F71" s="54"/>
      <c r="G71" s="91">
        <f>SUM(G72:G73)</f>
        <v>220</v>
      </c>
      <c r="H71" s="91">
        <f>SUM(H72:H73)</f>
        <v>58.135</v>
      </c>
      <c r="I71" s="91">
        <f t="shared" si="0"/>
        <v>26.424999999999997</v>
      </c>
    </row>
    <row r="72" spans="1:9" ht="24" outlineLevel="2">
      <c r="A72" s="39" t="s">
        <v>352</v>
      </c>
      <c r="B72" s="53" t="s">
        <v>293</v>
      </c>
      <c r="C72" s="53" t="s">
        <v>283</v>
      </c>
      <c r="D72" s="53" t="s">
        <v>264</v>
      </c>
      <c r="E72" s="55">
        <v>0</v>
      </c>
      <c r="F72" s="54">
        <v>200</v>
      </c>
      <c r="G72" s="91">
        <f>100+100</f>
        <v>200</v>
      </c>
      <c r="H72" s="91">
        <v>58.135</v>
      </c>
      <c r="I72" s="91">
        <f t="shared" si="0"/>
        <v>29.067500000000003</v>
      </c>
    </row>
    <row r="73" spans="1:9" ht="60" outlineLevel="2">
      <c r="A73" s="39" t="s">
        <v>238</v>
      </c>
      <c r="B73" s="53" t="s">
        <v>293</v>
      </c>
      <c r="C73" s="53" t="s">
        <v>283</v>
      </c>
      <c r="D73" s="53" t="s">
        <v>264</v>
      </c>
      <c r="E73" s="55">
        <v>0</v>
      </c>
      <c r="F73" s="54">
        <v>200</v>
      </c>
      <c r="G73" s="91">
        <v>20</v>
      </c>
      <c r="H73" s="91">
        <v>0</v>
      </c>
      <c r="I73" s="91">
        <f t="shared" si="0"/>
        <v>0</v>
      </c>
    </row>
    <row r="74" spans="1:9" ht="37.5" customHeight="1" outlineLevel="2">
      <c r="A74" s="39" t="s">
        <v>220</v>
      </c>
      <c r="B74" s="53" t="s">
        <v>293</v>
      </c>
      <c r="C74" s="53" t="s">
        <v>283</v>
      </c>
      <c r="D74" s="53" t="s">
        <v>26</v>
      </c>
      <c r="E74" s="55">
        <v>0</v>
      </c>
      <c r="F74" s="54"/>
      <c r="G74" s="91">
        <f>SUM(G75+G77)</f>
        <v>50</v>
      </c>
      <c r="H74" s="91">
        <f>SUM(H75+H77)</f>
        <v>0</v>
      </c>
      <c r="I74" s="91">
        <f t="shared" si="0"/>
        <v>0</v>
      </c>
    </row>
    <row r="75" spans="1:9" ht="20.25" customHeight="1" outlineLevel="2">
      <c r="A75" s="39" t="s">
        <v>116</v>
      </c>
      <c r="B75" s="53" t="s">
        <v>293</v>
      </c>
      <c r="C75" s="53" t="s">
        <v>283</v>
      </c>
      <c r="D75" s="53" t="s">
        <v>26</v>
      </c>
      <c r="E75" s="55">
        <v>1</v>
      </c>
      <c r="F75" s="54"/>
      <c r="G75" s="91">
        <f>SUM(G76)</f>
        <v>30</v>
      </c>
      <c r="H75" s="91">
        <f>SUM(H76)</f>
        <v>0</v>
      </c>
      <c r="I75" s="91">
        <f aca="true" t="shared" si="3" ref="I75:I138">SUM(H75/G75)*100</f>
        <v>0</v>
      </c>
    </row>
    <row r="76" spans="1:9" ht="24" outlineLevel="2">
      <c r="A76" s="39" t="s">
        <v>352</v>
      </c>
      <c r="B76" s="53" t="s">
        <v>293</v>
      </c>
      <c r="C76" s="53" t="s">
        <v>283</v>
      </c>
      <c r="D76" s="53" t="s">
        <v>26</v>
      </c>
      <c r="E76" s="55">
        <v>1</v>
      </c>
      <c r="F76" s="54">
        <v>200</v>
      </c>
      <c r="G76" s="91">
        <v>30</v>
      </c>
      <c r="H76" s="91">
        <v>0</v>
      </c>
      <c r="I76" s="91">
        <f t="shared" si="3"/>
        <v>0</v>
      </c>
    </row>
    <row r="77" spans="1:9" ht="24" outlineLevel="2">
      <c r="A77" s="39" t="s">
        <v>117</v>
      </c>
      <c r="B77" s="53" t="s">
        <v>293</v>
      </c>
      <c r="C77" s="53" t="s">
        <v>283</v>
      </c>
      <c r="D77" s="53" t="s">
        <v>26</v>
      </c>
      <c r="E77" s="55">
        <v>2</v>
      </c>
      <c r="F77" s="54"/>
      <c r="G77" s="91">
        <f>SUM(G78)</f>
        <v>20</v>
      </c>
      <c r="H77" s="91">
        <f>SUM(H78)</f>
        <v>0</v>
      </c>
      <c r="I77" s="91">
        <f t="shared" si="3"/>
        <v>0</v>
      </c>
    </row>
    <row r="78" spans="1:9" ht="23.25" customHeight="1" outlineLevel="2">
      <c r="A78" s="39" t="s">
        <v>352</v>
      </c>
      <c r="B78" s="53" t="s">
        <v>293</v>
      </c>
      <c r="C78" s="53" t="s">
        <v>283</v>
      </c>
      <c r="D78" s="53" t="s">
        <v>26</v>
      </c>
      <c r="E78" s="55">
        <v>2</v>
      </c>
      <c r="F78" s="54">
        <v>200</v>
      </c>
      <c r="G78" s="91">
        <v>20</v>
      </c>
      <c r="H78" s="91">
        <v>0</v>
      </c>
      <c r="I78" s="91">
        <f t="shared" si="3"/>
        <v>0</v>
      </c>
    </row>
    <row r="79" spans="1:9" ht="24.75" hidden="1" outlineLevel="2">
      <c r="A79" s="52" t="s">
        <v>93</v>
      </c>
      <c r="B79" s="53" t="s">
        <v>293</v>
      </c>
      <c r="C79" s="53" t="s">
        <v>283</v>
      </c>
      <c r="D79" s="53" t="s">
        <v>92</v>
      </c>
      <c r="E79" s="55">
        <v>0</v>
      </c>
      <c r="F79" s="54"/>
      <c r="G79" s="91">
        <f>SUM(G80)</f>
        <v>0</v>
      </c>
      <c r="H79" s="91">
        <f>SUM(H80)</f>
        <v>0</v>
      </c>
      <c r="I79" s="91" t="e">
        <f t="shared" si="3"/>
        <v>#DIV/0!</v>
      </c>
    </row>
    <row r="80" spans="1:9" ht="24.75" hidden="1" outlineLevel="2">
      <c r="A80" s="52" t="s">
        <v>352</v>
      </c>
      <c r="B80" s="53" t="s">
        <v>293</v>
      </c>
      <c r="C80" s="53" t="s">
        <v>283</v>
      </c>
      <c r="D80" s="53" t="s">
        <v>92</v>
      </c>
      <c r="E80" s="55">
        <v>0</v>
      </c>
      <c r="F80" s="54">
        <v>200</v>
      </c>
      <c r="G80" s="91">
        <v>0</v>
      </c>
      <c r="H80" s="91">
        <v>0</v>
      </c>
      <c r="I80" s="91" t="e">
        <f t="shared" si="3"/>
        <v>#DIV/0!</v>
      </c>
    </row>
    <row r="81" spans="1:9" ht="35.25" customHeight="1" outlineLevel="2">
      <c r="A81" s="39" t="s">
        <v>205</v>
      </c>
      <c r="B81" s="53" t="s">
        <v>293</v>
      </c>
      <c r="C81" s="53" t="s">
        <v>283</v>
      </c>
      <c r="D81" s="53" t="s">
        <v>57</v>
      </c>
      <c r="E81" s="55">
        <v>0</v>
      </c>
      <c r="F81" s="54"/>
      <c r="G81" s="91">
        <f>SUM(G82)</f>
        <v>20</v>
      </c>
      <c r="H81" s="91">
        <f>SUM(H82)</f>
        <v>0</v>
      </c>
      <c r="I81" s="91">
        <f t="shared" si="3"/>
        <v>0</v>
      </c>
    </row>
    <row r="82" spans="1:9" ht="24" outlineLevel="2">
      <c r="A82" s="39" t="s">
        <v>352</v>
      </c>
      <c r="B82" s="53" t="s">
        <v>293</v>
      </c>
      <c r="C82" s="53" t="s">
        <v>283</v>
      </c>
      <c r="D82" s="53" t="s">
        <v>57</v>
      </c>
      <c r="E82" s="55">
        <v>0</v>
      </c>
      <c r="F82" s="54">
        <v>200</v>
      </c>
      <c r="G82" s="91">
        <v>20</v>
      </c>
      <c r="H82" s="91">
        <v>0</v>
      </c>
      <c r="I82" s="91">
        <f t="shared" si="3"/>
        <v>0</v>
      </c>
    </row>
    <row r="83" spans="1:9" ht="51" customHeight="1" outlineLevel="2">
      <c r="A83" s="39" t="s">
        <v>212</v>
      </c>
      <c r="B83" s="53" t="s">
        <v>293</v>
      </c>
      <c r="C83" s="53" t="s">
        <v>283</v>
      </c>
      <c r="D83" s="53" t="s">
        <v>268</v>
      </c>
      <c r="E83" s="55">
        <v>0</v>
      </c>
      <c r="F83" s="54"/>
      <c r="G83" s="91">
        <f>SUM(G84:G84)</f>
        <v>32000</v>
      </c>
      <c r="H83" s="91">
        <f>SUM(H84:H84)</f>
        <v>12112.84279</v>
      </c>
      <c r="I83" s="91">
        <f t="shared" si="3"/>
        <v>37.85263371875</v>
      </c>
    </row>
    <row r="84" spans="1:9" ht="23.25" customHeight="1" outlineLevel="2">
      <c r="A84" s="39" t="s">
        <v>31</v>
      </c>
      <c r="B84" s="53" t="s">
        <v>293</v>
      </c>
      <c r="C84" s="53" t="s">
        <v>283</v>
      </c>
      <c r="D84" s="53" t="s">
        <v>268</v>
      </c>
      <c r="E84" s="55">
        <v>0</v>
      </c>
      <c r="F84" s="54">
        <v>600</v>
      </c>
      <c r="G84" s="91">
        <v>32000</v>
      </c>
      <c r="H84" s="91">
        <v>12112.84279</v>
      </c>
      <c r="I84" s="91">
        <f t="shared" si="3"/>
        <v>37.85263371875</v>
      </c>
    </row>
    <row r="85" spans="1:9" ht="15.75" outlineLevel="2">
      <c r="A85" s="39" t="s">
        <v>104</v>
      </c>
      <c r="B85" s="53" t="s">
        <v>293</v>
      </c>
      <c r="C85" s="53" t="s">
        <v>283</v>
      </c>
      <c r="D85" s="53"/>
      <c r="E85" s="55"/>
      <c r="F85" s="54"/>
      <c r="G85" s="91">
        <f>SUM(G86)</f>
        <v>585.2</v>
      </c>
      <c r="H85" s="91">
        <f>SUM(H86)</f>
        <v>270</v>
      </c>
      <c r="I85" s="91">
        <f t="shared" si="3"/>
        <v>46.13807245386192</v>
      </c>
    </row>
    <row r="86" spans="1:9" ht="26.25" customHeight="1" outlineLevel="2">
      <c r="A86" s="39" t="s">
        <v>353</v>
      </c>
      <c r="B86" s="53" t="s">
        <v>293</v>
      </c>
      <c r="C86" s="53" t="s">
        <v>283</v>
      </c>
      <c r="D86" s="53" t="s">
        <v>265</v>
      </c>
      <c r="E86" s="55">
        <v>0</v>
      </c>
      <c r="F86" s="54"/>
      <c r="G86" s="91">
        <f>SUM(G87:G88)</f>
        <v>585.2</v>
      </c>
      <c r="H86" s="91">
        <f>SUM(H87:H88)</f>
        <v>270</v>
      </c>
      <c r="I86" s="91">
        <f t="shared" si="3"/>
        <v>46.13807245386192</v>
      </c>
    </row>
    <row r="87" spans="1:9" ht="50.25" customHeight="1" outlineLevel="2">
      <c r="A87" s="39" t="s">
        <v>351</v>
      </c>
      <c r="B87" s="53" t="s">
        <v>293</v>
      </c>
      <c r="C87" s="53" t="s">
        <v>283</v>
      </c>
      <c r="D87" s="53" t="s">
        <v>265</v>
      </c>
      <c r="E87" s="55" t="s">
        <v>263</v>
      </c>
      <c r="F87" s="54">
        <v>100</v>
      </c>
      <c r="G87" s="91">
        <f>585.2-50</f>
        <v>535.2</v>
      </c>
      <c r="H87" s="91">
        <v>270</v>
      </c>
      <c r="I87" s="91">
        <f t="shared" si="3"/>
        <v>50.448430493273534</v>
      </c>
    </row>
    <row r="88" spans="1:9" ht="24" outlineLevel="2">
      <c r="A88" s="39" t="s">
        <v>352</v>
      </c>
      <c r="B88" s="53" t="s">
        <v>293</v>
      </c>
      <c r="C88" s="53" t="s">
        <v>283</v>
      </c>
      <c r="D88" s="53" t="s">
        <v>265</v>
      </c>
      <c r="E88" s="55" t="s">
        <v>263</v>
      </c>
      <c r="F88" s="54">
        <v>200</v>
      </c>
      <c r="G88" s="91">
        <v>50</v>
      </c>
      <c r="H88" s="91">
        <v>0</v>
      </c>
      <c r="I88" s="91">
        <f t="shared" si="3"/>
        <v>0</v>
      </c>
    </row>
    <row r="89" spans="1:9" ht="27.75" customHeight="1" outlineLevel="2">
      <c r="A89" s="39" t="s">
        <v>99</v>
      </c>
      <c r="B89" s="53" t="s">
        <v>293</v>
      </c>
      <c r="C89" s="53" t="s">
        <v>283</v>
      </c>
      <c r="D89" s="53" t="s">
        <v>270</v>
      </c>
      <c r="E89" s="55">
        <v>0</v>
      </c>
      <c r="F89" s="54"/>
      <c r="G89" s="91">
        <f>SUM(G90)</f>
        <v>100</v>
      </c>
      <c r="H89" s="91">
        <f>SUM(H90)</f>
        <v>0</v>
      </c>
      <c r="I89" s="91">
        <f t="shared" si="3"/>
        <v>0</v>
      </c>
    </row>
    <row r="90" spans="1:9" ht="25.5" customHeight="1" outlineLevel="2">
      <c r="A90" s="39" t="s">
        <v>30</v>
      </c>
      <c r="B90" s="53" t="s">
        <v>293</v>
      </c>
      <c r="C90" s="53" t="s">
        <v>283</v>
      </c>
      <c r="D90" s="53" t="s">
        <v>270</v>
      </c>
      <c r="E90" s="55" t="s">
        <v>263</v>
      </c>
      <c r="F90" s="54"/>
      <c r="G90" s="91">
        <f>SUM(G91)</f>
        <v>100</v>
      </c>
      <c r="H90" s="91">
        <f>SUM(H91)</f>
        <v>0</v>
      </c>
      <c r="I90" s="91">
        <f t="shared" si="3"/>
        <v>0</v>
      </c>
    </row>
    <row r="91" spans="1:9" ht="24" outlineLevel="5">
      <c r="A91" s="39" t="s">
        <v>352</v>
      </c>
      <c r="B91" s="53" t="s">
        <v>293</v>
      </c>
      <c r="C91" s="53" t="s">
        <v>283</v>
      </c>
      <c r="D91" s="53" t="s">
        <v>270</v>
      </c>
      <c r="E91" s="55" t="s">
        <v>263</v>
      </c>
      <c r="F91" s="54">
        <v>200</v>
      </c>
      <c r="G91" s="91">
        <v>100</v>
      </c>
      <c r="H91" s="91">
        <v>0</v>
      </c>
      <c r="I91" s="91">
        <f t="shared" si="3"/>
        <v>0</v>
      </c>
    </row>
    <row r="92" spans="1:9" ht="24" outlineLevel="5">
      <c r="A92" s="39" t="s">
        <v>98</v>
      </c>
      <c r="B92" s="53" t="s">
        <v>293</v>
      </c>
      <c r="C92" s="53" t="s">
        <v>283</v>
      </c>
      <c r="D92" s="53" t="s">
        <v>270</v>
      </c>
      <c r="E92" s="55">
        <v>0</v>
      </c>
      <c r="F92" s="54"/>
      <c r="G92" s="91">
        <f>SUM(G93)</f>
        <v>3752.684869999999</v>
      </c>
      <c r="H92" s="91">
        <f>SUM(H93)</f>
        <v>91.17235</v>
      </c>
      <c r="I92" s="91">
        <f t="shared" si="3"/>
        <v>2.429523212270153</v>
      </c>
    </row>
    <row r="93" spans="1:9" ht="24.75" customHeight="1" outlineLevel="5">
      <c r="A93" s="39" t="s">
        <v>30</v>
      </c>
      <c r="B93" s="53" t="s">
        <v>293</v>
      </c>
      <c r="C93" s="53" t="s">
        <v>283</v>
      </c>
      <c r="D93" s="53" t="s">
        <v>270</v>
      </c>
      <c r="E93" s="55" t="s">
        <v>263</v>
      </c>
      <c r="F93" s="54"/>
      <c r="G93" s="91">
        <f>SUM(G94:G95)</f>
        <v>3752.684869999999</v>
      </c>
      <c r="H93" s="91">
        <f>SUM(H94:H95)</f>
        <v>91.17235</v>
      </c>
      <c r="I93" s="91">
        <f t="shared" si="3"/>
        <v>2.429523212270153</v>
      </c>
    </row>
    <row r="94" spans="1:9" ht="24" outlineLevel="5">
      <c r="A94" s="39" t="s">
        <v>352</v>
      </c>
      <c r="B94" s="53" t="s">
        <v>293</v>
      </c>
      <c r="C94" s="53" t="s">
        <v>283</v>
      </c>
      <c r="D94" s="53" t="s">
        <v>270</v>
      </c>
      <c r="E94" s="55">
        <v>0</v>
      </c>
      <c r="F94" s="54">
        <v>200</v>
      </c>
      <c r="G94" s="91">
        <f>600+7990.65776+71+101.6-87.09-75.6-73.02554-626.4736-3948.9-180.23737-1924-0.00001-394.2+698.95363</f>
        <v>2152.684869999999</v>
      </c>
      <c r="H94" s="91">
        <v>85.05108</v>
      </c>
      <c r="I94" s="91">
        <f t="shared" si="3"/>
        <v>3.9509303560999167</v>
      </c>
    </row>
    <row r="95" spans="1:9" ht="15.75" outlineLevel="5">
      <c r="A95" s="39" t="s">
        <v>19</v>
      </c>
      <c r="B95" s="53" t="s">
        <v>293</v>
      </c>
      <c r="C95" s="53" t="s">
        <v>283</v>
      </c>
      <c r="D95" s="53" t="s">
        <v>270</v>
      </c>
      <c r="E95" s="55">
        <v>0</v>
      </c>
      <c r="F95" s="54">
        <v>800</v>
      </c>
      <c r="G95" s="91">
        <v>1600</v>
      </c>
      <c r="H95" s="91">
        <v>6.12127</v>
      </c>
      <c r="I95" s="91">
        <f t="shared" si="3"/>
        <v>0.382579375</v>
      </c>
    </row>
    <row r="96" spans="1:9" ht="24" hidden="1" outlineLevel="5">
      <c r="A96" s="39" t="s">
        <v>165</v>
      </c>
      <c r="B96" s="53" t="s">
        <v>293</v>
      </c>
      <c r="C96" s="53" t="s">
        <v>283</v>
      </c>
      <c r="D96" s="53" t="s">
        <v>270</v>
      </c>
      <c r="E96" s="55">
        <v>0</v>
      </c>
      <c r="F96" s="54"/>
      <c r="G96" s="91">
        <f>SUM(G97)</f>
        <v>0</v>
      </c>
      <c r="H96" s="91">
        <f>SUM(H97)</f>
        <v>0</v>
      </c>
      <c r="I96" s="91" t="e">
        <f t="shared" si="3"/>
        <v>#DIV/0!</v>
      </c>
    </row>
    <row r="97" spans="1:9" ht="24" hidden="1" outlineLevel="5">
      <c r="A97" s="39" t="s">
        <v>30</v>
      </c>
      <c r="B97" s="53" t="s">
        <v>293</v>
      </c>
      <c r="C97" s="53" t="s">
        <v>283</v>
      </c>
      <c r="D97" s="53" t="s">
        <v>270</v>
      </c>
      <c r="E97" s="55" t="s">
        <v>263</v>
      </c>
      <c r="F97" s="54"/>
      <c r="G97" s="91">
        <f>SUM(G98)</f>
        <v>0</v>
      </c>
      <c r="H97" s="91">
        <f>SUM(H98)</f>
        <v>0</v>
      </c>
      <c r="I97" s="91" t="e">
        <f t="shared" si="3"/>
        <v>#DIV/0!</v>
      </c>
    </row>
    <row r="98" spans="1:9" ht="24" hidden="1" outlineLevel="5">
      <c r="A98" s="39" t="s">
        <v>352</v>
      </c>
      <c r="B98" s="53" t="s">
        <v>293</v>
      </c>
      <c r="C98" s="53" t="s">
        <v>283</v>
      </c>
      <c r="D98" s="53" t="s">
        <v>270</v>
      </c>
      <c r="E98" s="55">
        <v>0</v>
      </c>
      <c r="F98" s="54">
        <v>200</v>
      </c>
      <c r="G98" s="91">
        <v>0</v>
      </c>
      <c r="H98" s="91">
        <v>0</v>
      </c>
      <c r="I98" s="91" t="e">
        <f t="shared" si="3"/>
        <v>#DIV/0!</v>
      </c>
    </row>
    <row r="99" spans="1:9" ht="15.75" outlineLevel="5">
      <c r="A99" s="39" t="s">
        <v>301</v>
      </c>
      <c r="B99" s="53" t="s">
        <v>293</v>
      </c>
      <c r="C99" s="53" t="s">
        <v>283</v>
      </c>
      <c r="D99" s="53" t="s">
        <v>270</v>
      </c>
      <c r="E99" s="55">
        <v>0</v>
      </c>
      <c r="F99" s="54"/>
      <c r="G99" s="91">
        <v>0</v>
      </c>
      <c r="H99" s="91">
        <v>0</v>
      </c>
      <c r="I99" s="91">
        <v>0</v>
      </c>
    </row>
    <row r="100" spans="1:9" ht="15.75" outlineLevel="1">
      <c r="A100" s="39" t="s">
        <v>302</v>
      </c>
      <c r="B100" s="53" t="s">
        <v>293</v>
      </c>
      <c r="C100" s="53" t="s">
        <v>363</v>
      </c>
      <c r="D100" s="53"/>
      <c r="E100" s="55"/>
      <c r="F100" s="54"/>
      <c r="G100" s="91">
        <f aca="true" t="shared" si="4" ref="G100:H103">SUM(G101)</f>
        <v>414.2</v>
      </c>
      <c r="H100" s="91">
        <f t="shared" si="4"/>
        <v>118.26</v>
      </c>
      <c r="I100" s="91">
        <f t="shared" si="3"/>
        <v>28.551424432641237</v>
      </c>
    </row>
    <row r="101" spans="1:9" ht="15.75" outlineLevel="2">
      <c r="A101" s="39" t="s">
        <v>303</v>
      </c>
      <c r="B101" s="53" t="s">
        <v>293</v>
      </c>
      <c r="C101" s="53" t="s">
        <v>304</v>
      </c>
      <c r="D101" s="53"/>
      <c r="E101" s="55"/>
      <c r="F101" s="54"/>
      <c r="G101" s="91">
        <f t="shared" si="4"/>
        <v>414.2</v>
      </c>
      <c r="H101" s="91">
        <f t="shared" si="4"/>
        <v>118.26</v>
      </c>
      <c r="I101" s="91">
        <f t="shared" si="3"/>
        <v>28.551424432641237</v>
      </c>
    </row>
    <row r="102" spans="1:9" ht="15.75" outlineLevel="5">
      <c r="A102" s="39" t="s">
        <v>271</v>
      </c>
      <c r="B102" s="53" t="s">
        <v>293</v>
      </c>
      <c r="C102" s="53" t="s">
        <v>304</v>
      </c>
      <c r="D102" s="53"/>
      <c r="E102" s="55"/>
      <c r="F102" s="54"/>
      <c r="G102" s="91">
        <f t="shared" si="4"/>
        <v>414.2</v>
      </c>
      <c r="H102" s="91">
        <f t="shared" si="4"/>
        <v>118.26</v>
      </c>
      <c r="I102" s="91">
        <f t="shared" si="3"/>
        <v>28.551424432641237</v>
      </c>
    </row>
    <row r="103" spans="1:9" ht="27" customHeight="1" outlineLevel="5">
      <c r="A103" s="39" t="s">
        <v>30</v>
      </c>
      <c r="B103" s="53" t="s">
        <v>293</v>
      </c>
      <c r="C103" s="53" t="s">
        <v>304</v>
      </c>
      <c r="D103" s="53" t="s">
        <v>270</v>
      </c>
      <c r="E103" s="55">
        <v>0</v>
      </c>
      <c r="F103" s="54"/>
      <c r="G103" s="91">
        <f t="shared" si="4"/>
        <v>414.2</v>
      </c>
      <c r="H103" s="91">
        <f t="shared" si="4"/>
        <v>118.26</v>
      </c>
      <c r="I103" s="91">
        <f t="shared" si="3"/>
        <v>28.551424432641237</v>
      </c>
    </row>
    <row r="104" spans="1:9" ht="24" outlineLevel="5">
      <c r="A104" s="39" t="s">
        <v>352</v>
      </c>
      <c r="B104" s="53" t="s">
        <v>293</v>
      </c>
      <c r="C104" s="53" t="s">
        <v>304</v>
      </c>
      <c r="D104" s="53" t="s">
        <v>270</v>
      </c>
      <c r="E104" s="55">
        <v>0</v>
      </c>
      <c r="F104" s="54">
        <v>200</v>
      </c>
      <c r="G104" s="91">
        <f>20+394.2</f>
        <v>414.2</v>
      </c>
      <c r="H104" s="91">
        <v>118.26</v>
      </c>
      <c r="I104" s="91">
        <f t="shared" si="3"/>
        <v>28.551424432641237</v>
      </c>
    </row>
    <row r="105" spans="1:9" ht="15.75" outlineLevel="5">
      <c r="A105" s="39" t="s">
        <v>368</v>
      </c>
      <c r="B105" s="53" t="s">
        <v>293</v>
      </c>
      <c r="C105" s="53" t="s">
        <v>364</v>
      </c>
      <c r="D105" s="53"/>
      <c r="E105" s="55"/>
      <c r="F105" s="54"/>
      <c r="G105" s="91">
        <f>SUM(G106+G109)</f>
        <v>70</v>
      </c>
      <c r="H105" s="91">
        <f>SUM(H106+H109)</f>
        <v>0</v>
      </c>
      <c r="I105" s="91">
        <f t="shared" si="3"/>
        <v>0</v>
      </c>
    </row>
    <row r="106" spans="1:9" ht="15.75" outlineLevel="5">
      <c r="A106" s="39" t="s">
        <v>151</v>
      </c>
      <c r="B106" s="53" t="s">
        <v>293</v>
      </c>
      <c r="C106" s="53" t="s">
        <v>305</v>
      </c>
      <c r="D106" s="53"/>
      <c r="E106" s="55"/>
      <c r="F106" s="54"/>
      <c r="G106" s="91">
        <f>SUM(G107)</f>
        <v>20</v>
      </c>
      <c r="H106" s="91">
        <f>SUM(H107)</f>
        <v>0</v>
      </c>
      <c r="I106" s="91">
        <f t="shared" si="3"/>
        <v>0</v>
      </c>
    </row>
    <row r="107" spans="1:9" ht="24" outlineLevel="5">
      <c r="A107" s="39" t="s">
        <v>30</v>
      </c>
      <c r="B107" s="53" t="s">
        <v>293</v>
      </c>
      <c r="C107" s="53" t="s">
        <v>305</v>
      </c>
      <c r="D107" s="53" t="s">
        <v>270</v>
      </c>
      <c r="E107" s="55">
        <v>0</v>
      </c>
      <c r="F107" s="54"/>
      <c r="G107" s="91">
        <f>SUM(G108)</f>
        <v>20</v>
      </c>
      <c r="H107" s="91">
        <f>SUM(H108)</f>
        <v>0</v>
      </c>
      <c r="I107" s="91">
        <f t="shared" si="3"/>
        <v>0</v>
      </c>
    </row>
    <row r="108" spans="1:9" ht="24" outlineLevel="5">
      <c r="A108" s="39" t="s">
        <v>352</v>
      </c>
      <c r="B108" s="53" t="s">
        <v>293</v>
      </c>
      <c r="C108" s="53" t="s">
        <v>305</v>
      </c>
      <c r="D108" s="53" t="s">
        <v>270</v>
      </c>
      <c r="E108" s="55">
        <v>0</v>
      </c>
      <c r="F108" s="54">
        <v>200</v>
      </c>
      <c r="G108" s="91">
        <v>20</v>
      </c>
      <c r="H108" s="91">
        <v>0</v>
      </c>
      <c r="I108" s="91">
        <f t="shared" si="3"/>
        <v>0</v>
      </c>
    </row>
    <row r="109" spans="1:9" ht="30" customHeight="1" outlineLevel="1">
      <c r="A109" s="39" t="s">
        <v>149</v>
      </c>
      <c r="B109" s="53" t="s">
        <v>293</v>
      </c>
      <c r="C109" s="53" t="s">
        <v>150</v>
      </c>
      <c r="D109" s="53"/>
      <c r="E109" s="55"/>
      <c r="F109" s="54"/>
      <c r="G109" s="91">
        <f>SUM(G110)</f>
        <v>50</v>
      </c>
      <c r="H109" s="91">
        <f>SUM(H110)</f>
        <v>0</v>
      </c>
      <c r="I109" s="91">
        <f t="shared" si="3"/>
        <v>0</v>
      </c>
    </row>
    <row r="110" spans="1:9" ht="24.75" customHeight="1" outlineLevel="2">
      <c r="A110" s="39" t="s">
        <v>30</v>
      </c>
      <c r="B110" s="53" t="s">
        <v>293</v>
      </c>
      <c r="C110" s="53" t="s">
        <v>150</v>
      </c>
      <c r="D110" s="53" t="s">
        <v>270</v>
      </c>
      <c r="E110" s="55">
        <v>0</v>
      </c>
      <c r="F110" s="54"/>
      <c r="G110" s="91">
        <f>SUM(G111)</f>
        <v>50</v>
      </c>
      <c r="H110" s="91">
        <f>SUM(H111)</f>
        <v>0</v>
      </c>
      <c r="I110" s="91">
        <f t="shared" si="3"/>
        <v>0</v>
      </c>
    </row>
    <row r="111" spans="1:9" ht="24" outlineLevel="3">
      <c r="A111" s="39" t="s">
        <v>352</v>
      </c>
      <c r="B111" s="53" t="s">
        <v>293</v>
      </c>
      <c r="C111" s="53" t="s">
        <v>150</v>
      </c>
      <c r="D111" s="53" t="s">
        <v>270</v>
      </c>
      <c r="E111" s="55">
        <v>0</v>
      </c>
      <c r="F111" s="54">
        <v>200</v>
      </c>
      <c r="G111" s="91">
        <f>50+10-10</f>
        <v>50</v>
      </c>
      <c r="H111" s="91">
        <v>0</v>
      </c>
      <c r="I111" s="91">
        <f t="shared" si="3"/>
        <v>0</v>
      </c>
    </row>
    <row r="112" spans="1:9" ht="15" customHeight="1" outlineLevel="3">
      <c r="A112" s="39" t="s">
        <v>369</v>
      </c>
      <c r="B112" s="53" t="s">
        <v>293</v>
      </c>
      <c r="C112" s="53" t="s">
        <v>313</v>
      </c>
      <c r="D112" s="53"/>
      <c r="E112" s="55"/>
      <c r="F112" s="54"/>
      <c r="G112" s="97">
        <f>SUM(G113+G117+G125)</f>
        <v>125204.00788</v>
      </c>
      <c r="H112" s="97">
        <f>SUM(H113+H117+H125)</f>
        <v>146.5</v>
      </c>
      <c r="I112" s="91">
        <f t="shared" si="3"/>
        <v>0.1170090338804576</v>
      </c>
    </row>
    <row r="113" spans="1:9" ht="15.75" outlineLevel="3">
      <c r="A113" s="39" t="s">
        <v>20</v>
      </c>
      <c r="B113" s="53" t="s">
        <v>293</v>
      </c>
      <c r="C113" s="53" t="s">
        <v>21</v>
      </c>
      <c r="D113" s="53"/>
      <c r="E113" s="55"/>
      <c r="F113" s="54"/>
      <c r="G113" s="91">
        <f aca="true" t="shared" si="5" ref="G113:H115">SUM(G114)</f>
        <v>143.5</v>
      </c>
      <c r="H113" s="91">
        <f t="shared" si="5"/>
        <v>0</v>
      </c>
      <c r="I113" s="91">
        <f t="shared" si="3"/>
        <v>0</v>
      </c>
    </row>
    <row r="114" spans="1:9" ht="48" outlineLevel="3">
      <c r="A114" s="39" t="s">
        <v>100</v>
      </c>
      <c r="B114" s="53" t="s">
        <v>293</v>
      </c>
      <c r="C114" s="53" t="s">
        <v>21</v>
      </c>
      <c r="D114" s="53" t="s">
        <v>270</v>
      </c>
      <c r="E114" s="55">
        <v>0</v>
      </c>
      <c r="F114" s="54"/>
      <c r="G114" s="91">
        <f t="shared" si="5"/>
        <v>143.5</v>
      </c>
      <c r="H114" s="91">
        <f t="shared" si="5"/>
        <v>0</v>
      </c>
      <c r="I114" s="91">
        <f t="shared" si="3"/>
        <v>0</v>
      </c>
    </row>
    <row r="115" spans="1:9" ht="24" outlineLevel="3">
      <c r="A115" s="39" t="s">
        <v>30</v>
      </c>
      <c r="B115" s="53" t="s">
        <v>293</v>
      </c>
      <c r="C115" s="53" t="s">
        <v>21</v>
      </c>
      <c r="D115" s="53" t="s">
        <v>270</v>
      </c>
      <c r="E115" s="55">
        <v>0</v>
      </c>
      <c r="F115" s="54"/>
      <c r="G115" s="91">
        <f t="shared" si="5"/>
        <v>143.5</v>
      </c>
      <c r="H115" s="91">
        <f t="shared" si="5"/>
        <v>0</v>
      </c>
      <c r="I115" s="91">
        <f t="shared" si="3"/>
        <v>0</v>
      </c>
    </row>
    <row r="116" spans="1:9" ht="21.75" customHeight="1" outlineLevel="3">
      <c r="A116" s="39" t="s">
        <v>352</v>
      </c>
      <c r="B116" s="53" t="s">
        <v>293</v>
      </c>
      <c r="C116" s="53" t="s">
        <v>21</v>
      </c>
      <c r="D116" s="53" t="s">
        <v>270</v>
      </c>
      <c r="E116" s="55">
        <v>0</v>
      </c>
      <c r="F116" s="54">
        <v>200</v>
      </c>
      <c r="G116" s="91">
        <v>143.5</v>
      </c>
      <c r="H116" s="91">
        <v>0</v>
      </c>
      <c r="I116" s="91">
        <f t="shared" si="3"/>
        <v>0</v>
      </c>
    </row>
    <row r="117" spans="1:9" ht="15.75">
      <c r="A117" s="39" t="s">
        <v>370</v>
      </c>
      <c r="B117" s="53" t="s">
        <v>293</v>
      </c>
      <c r="C117" s="53" t="s">
        <v>306</v>
      </c>
      <c r="D117" s="53"/>
      <c r="E117" s="55"/>
      <c r="F117" s="54"/>
      <c r="G117" s="97">
        <f>SUM(G118+G123)</f>
        <v>124610.50788</v>
      </c>
      <c r="H117" s="97">
        <f>SUM(H118+H123)</f>
        <v>0</v>
      </c>
      <c r="I117" s="91">
        <f t="shared" si="3"/>
        <v>0</v>
      </c>
    </row>
    <row r="118" spans="1:9" ht="38.25" customHeight="1" outlineLevel="1">
      <c r="A118" s="39" t="s">
        <v>128</v>
      </c>
      <c r="B118" s="53" t="s">
        <v>293</v>
      </c>
      <c r="C118" s="53" t="s">
        <v>306</v>
      </c>
      <c r="D118" s="53" t="s">
        <v>24</v>
      </c>
      <c r="E118" s="55">
        <v>0</v>
      </c>
      <c r="F118" s="56"/>
      <c r="G118" s="91">
        <f>SUM(G119:G122)</f>
        <v>44610.50808</v>
      </c>
      <c r="H118" s="91">
        <f>SUM(H119:H122)</f>
        <v>0</v>
      </c>
      <c r="I118" s="91">
        <f t="shared" si="3"/>
        <v>0</v>
      </c>
    </row>
    <row r="119" spans="1:9" ht="24" outlineLevel="2">
      <c r="A119" s="39" t="s">
        <v>352</v>
      </c>
      <c r="B119" s="53" t="s">
        <v>293</v>
      </c>
      <c r="C119" s="53" t="s">
        <v>306</v>
      </c>
      <c r="D119" s="53" t="s">
        <v>24</v>
      </c>
      <c r="E119" s="55">
        <v>0</v>
      </c>
      <c r="F119" s="56">
        <v>200</v>
      </c>
      <c r="G119" s="91">
        <f>10393.7-60.60607</f>
        <v>10333.093930000001</v>
      </c>
      <c r="H119" s="91">
        <v>0</v>
      </c>
      <c r="I119" s="91">
        <f t="shared" si="3"/>
        <v>0</v>
      </c>
    </row>
    <row r="120" spans="1:9" ht="15.75" customHeight="1" outlineLevel="2">
      <c r="A120" s="39" t="s">
        <v>154</v>
      </c>
      <c r="B120" s="53" t="s">
        <v>293</v>
      </c>
      <c r="C120" s="53" t="s">
        <v>306</v>
      </c>
      <c r="D120" s="53" t="s">
        <v>24</v>
      </c>
      <c r="E120" s="55">
        <v>0</v>
      </c>
      <c r="F120" s="56">
        <v>200</v>
      </c>
      <c r="G120" s="91">
        <f>26136+8000-2100-10000-8036</f>
        <v>14000</v>
      </c>
      <c r="H120" s="91">
        <v>0</v>
      </c>
      <c r="I120" s="91">
        <f t="shared" si="3"/>
        <v>0</v>
      </c>
    </row>
    <row r="121" spans="1:9" ht="36" customHeight="1" outlineLevel="2">
      <c r="A121" s="39" t="s">
        <v>155</v>
      </c>
      <c r="B121" s="53" t="s">
        <v>293</v>
      </c>
      <c r="C121" s="53" t="s">
        <v>306</v>
      </c>
      <c r="D121" s="53" t="s">
        <v>24</v>
      </c>
      <c r="E121" s="55">
        <v>0</v>
      </c>
      <c r="F121" s="56">
        <v>200</v>
      </c>
      <c r="G121" s="91">
        <f>60.60607+80.80808</f>
        <v>141.41415</v>
      </c>
      <c r="H121" s="91">
        <v>0</v>
      </c>
      <c r="I121" s="91">
        <f t="shared" si="3"/>
        <v>0</v>
      </c>
    </row>
    <row r="122" spans="1:9" ht="28.5" customHeight="1" outlineLevel="2">
      <c r="A122" s="39" t="s">
        <v>124</v>
      </c>
      <c r="B122" s="53" t="s">
        <v>293</v>
      </c>
      <c r="C122" s="53" t="s">
        <v>306</v>
      </c>
      <c r="D122" s="53" t="s">
        <v>24</v>
      </c>
      <c r="E122" s="55">
        <v>0</v>
      </c>
      <c r="F122" s="56">
        <v>500</v>
      </c>
      <c r="G122" s="91">
        <f>2100+10000+8036</f>
        <v>20136</v>
      </c>
      <c r="H122" s="91">
        <v>0</v>
      </c>
      <c r="I122" s="91">
        <f t="shared" si="3"/>
        <v>0</v>
      </c>
    </row>
    <row r="123" spans="1:9" ht="24" outlineLevel="3">
      <c r="A123" s="39" t="s">
        <v>129</v>
      </c>
      <c r="B123" s="53" t="s">
        <v>293</v>
      </c>
      <c r="C123" s="53" t="s">
        <v>306</v>
      </c>
      <c r="D123" s="53" t="s">
        <v>266</v>
      </c>
      <c r="E123" s="55">
        <v>0</v>
      </c>
      <c r="F123" s="54"/>
      <c r="G123" s="91">
        <f>SUM(G124)</f>
        <v>79999.9998</v>
      </c>
      <c r="H123" s="91">
        <f>SUM(H124)</f>
        <v>0</v>
      </c>
      <c r="I123" s="91">
        <f t="shared" si="3"/>
        <v>0</v>
      </c>
    </row>
    <row r="124" spans="1:9" ht="24" outlineLevel="3">
      <c r="A124" s="39" t="s">
        <v>199</v>
      </c>
      <c r="B124" s="53" t="s">
        <v>293</v>
      </c>
      <c r="C124" s="53" t="s">
        <v>306</v>
      </c>
      <c r="D124" s="53" t="s">
        <v>266</v>
      </c>
      <c r="E124" s="55">
        <v>0</v>
      </c>
      <c r="F124" s="54">
        <v>500</v>
      </c>
      <c r="G124" s="91">
        <f>71640-0.0002+360+8000</f>
        <v>79999.9998</v>
      </c>
      <c r="H124" s="91">
        <v>0</v>
      </c>
      <c r="I124" s="91">
        <f t="shared" si="3"/>
        <v>0</v>
      </c>
    </row>
    <row r="125" spans="1:9" ht="15.75" outlineLevel="3">
      <c r="A125" s="39" t="s">
        <v>371</v>
      </c>
      <c r="B125" s="53" t="s">
        <v>293</v>
      </c>
      <c r="C125" s="53" t="s">
        <v>307</v>
      </c>
      <c r="D125" s="53"/>
      <c r="E125" s="55"/>
      <c r="F125" s="54"/>
      <c r="G125" s="91">
        <f>SUM(G126+G130)</f>
        <v>450</v>
      </c>
      <c r="H125" s="91">
        <f>SUM(H126+H130)</f>
        <v>146.5</v>
      </c>
      <c r="I125" s="91">
        <f t="shared" si="3"/>
        <v>32.55555555555556</v>
      </c>
    </row>
    <row r="126" spans="1:9" ht="34.5" customHeight="1" outlineLevel="3">
      <c r="A126" s="39" t="s">
        <v>216</v>
      </c>
      <c r="B126" s="53" t="s">
        <v>293</v>
      </c>
      <c r="C126" s="53" t="s">
        <v>307</v>
      </c>
      <c r="D126" s="53" t="s">
        <v>267</v>
      </c>
      <c r="E126" s="55">
        <v>0</v>
      </c>
      <c r="F126" s="54"/>
      <c r="G126" s="91">
        <f>SUM(G127:G129)</f>
        <v>50</v>
      </c>
      <c r="H126" s="91">
        <f>SUM(H127:H129)</f>
        <v>0</v>
      </c>
      <c r="I126" s="91">
        <f t="shared" si="3"/>
        <v>0</v>
      </c>
    </row>
    <row r="127" spans="1:9" ht="24" hidden="1" outlineLevel="3">
      <c r="A127" s="39" t="s">
        <v>352</v>
      </c>
      <c r="B127" s="53" t="s">
        <v>293</v>
      </c>
      <c r="C127" s="53" t="s">
        <v>307</v>
      </c>
      <c r="D127" s="53" t="s">
        <v>267</v>
      </c>
      <c r="E127" s="55">
        <v>0</v>
      </c>
      <c r="F127" s="54">
        <v>200</v>
      </c>
      <c r="G127" s="91">
        <v>0</v>
      </c>
      <c r="H127" s="91">
        <v>0</v>
      </c>
      <c r="I127" s="91" t="e">
        <f t="shared" si="3"/>
        <v>#DIV/0!</v>
      </c>
    </row>
    <row r="128" spans="1:9" ht="16.5" customHeight="1" hidden="1" outlineLevel="3">
      <c r="A128" s="39" t="s">
        <v>32</v>
      </c>
      <c r="B128" s="53" t="s">
        <v>293</v>
      </c>
      <c r="C128" s="53" t="s">
        <v>307</v>
      </c>
      <c r="D128" s="53" t="s">
        <v>267</v>
      </c>
      <c r="E128" s="55">
        <v>0</v>
      </c>
      <c r="F128" s="54">
        <v>300</v>
      </c>
      <c r="G128" s="91">
        <v>0</v>
      </c>
      <c r="H128" s="91">
        <v>0</v>
      </c>
      <c r="I128" s="91" t="e">
        <f t="shared" si="3"/>
        <v>#DIV/0!</v>
      </c>
    </row>
    <row r="129" spans="1:9" ht="15.75" outlineLevel="3">
      <c r="A129" s="39" t="s">
        <v>19</v>
      </c>
      <c r="B129" s="53" t="s">
        <v>293</v>
      </c>
      <c r="C129" s="53" t="s">
        <v>307</v>
      </c>
      <c r="D129" s="53" t="s">
        <v>267</v>
      </c>
      <c r="E129" s="55">
        <v>0</v>
      </c>
      <c r="F129" s="54">
        <v>800</v>
      </c>
      <c r="G129" s="91">
        <v>50</v>
      </c>
      <c r="H129" s="91">
        <v>0</v>
      </c>
      <c r="I129" s="91">
        <f t="shared" si="3"/>
        <v>0</v>
      </c>
    </row>
    <row r="130" spans="1:9" ht="27.75" customHeight="1" outlineLevel="3">
      <c r="A130" s="39" t="s">
        <v>170</v>
      </c>
      <c r="B130" s="53" t="s">
        <v>293</v>
      </c>
      <c r="C130" s="53" t="s">
        <v>307</v>
      </c>
      <c r="D130" s="53" t="s">
        <v>119</v>
      </c>
      <c r="E130" s="55">
        <v>0</v>
      </c>
      <c r="F130" s="54"/>
      <c r="G130" s="91">
        <f>SUM(G131:G133)</f>
        <v>400</v>
      </c>
      <c r="H130" s="91">
        <f>SUM(H131:H133)</f>
        <v>146.5</v>
      </c>
      <c r="I130" s="91">
        <f t="shared" si="3"/>
        <v>36.625</v>
      </c>
    </row>
    <row r="131" spans="1:9" ht="21.75" customHeight="1" outlineLevel="3">
      <c r="A131" s="39" t="s">
        <v>352</v>
      </c>
      <c r="B131" s="53" t="s">
        <v>293</v>
      </c>
      <c r="C131" s="53" t="s">
        <v>307</v>
      </c>
      <c r="D131" s="53" t="s">
        <v>119</v>
      </c>
      <c r="E131" s="55">
        <v>0</v>
      </c>
      <c r="F131" s="54">
        <v>200</v>
      </c>
      <c r="G131" s="91">
        <v>400</v>
      </c>
      <c r="H131" s="91">
        <v>146.5</v>
      </c>
      <c r="I131" s="91">
        <f t="shared" si="3"/>
        <v>36.625</v>
      </c>
    </row>
    <row r="132" spans="1:9" ht="15.75" hidden="1" outlineLevel="3">
      <c r="A132" s="39" t="s">
        <v>33</v>
      </c>
      <c r="B132" s="53" t="s">
        <v>293</v>
      </c>
      <c r="C132" s="53" t="s">
        <v>307</v>
      </c>
      <c r="D132" s="53" t="s">
        <v>119</v>
      </c>
      <c r="E132" s="55">
        <v>0</v>
      </c>
      <c r="F132" s="54">
        <v>500</v>
      </c>
      <c r="G132" s="91">
        <v>0</v>
      </c>
      <c r="H132" s="91">
        <v>0</v>
      </c>
      <c r="I132" s="91" t="e">
        <f t="shared" si="3"/>
        <v>#DIV/0!</v>
      </c>
    </row>
    <row r="133" spans="1:9" ht="18" customHeight="1" hidden="1" outlineLevel="1">
      <c r="A133" s="39" t="s">
        <v>235</v>
      </c>
      <c r="B133" s="53" t="s">
        <v>293</v>
      </c>
      <c r="C133" s="53" t="s">
        <v>307</v>
      </c>
      <c r="D133" s="53" t="s">
        <v>119</v>
      </c>
      <c r="E133" s="55">
        <v>0</v>
      </c>
      <c r="F133" s="54"/>
      <c r="G133" s="91">
        <f>SUM(G134:G135)</f>
        <v>0</v>
      </c>
      <c r="H133" s="91">
        <f>SUM(H134:H135)</f>
        <v>0</v>
      </c>
      <c r="I133" s="91">
        <v>0</v>
      </c>
    </row>
    <row r="134" spans="1:9" ht="54" customHeight="1" hidden="1" outlineLevel="1">
      <c r="A134" s="39" t="s">
        <v>236</v>
      </c>
      <c r="B134" s="53" t="s">
        <v>293</v>
      </c>
      <c r="C134" s="53" t="s">
        <v>307</v>
      </c>
      <c r="D134" s="53" t="s">
        <v>119</v>
      </c>
      <c r="E134" s="55">
        <v>0</v>
      </c>
      <c r="F134" s="54">
        <v>200</v>
      </c>
      <c r="G134" s="91">
        <v>0</v>
      </c>
      <c r="H134" s="91">
        <v>0</v>
      </c>
      <c r="I134" s="91">
        <v>0</v>
      </c>
    </row>
    <row r="135" spans="1:9" ht="24" hidden="1" outlineLevel="1">
      <c r="A135" s="39" t="s">
        <v>181</v>
      </c>
      <c r="B135" s="53" t="s">
        <v>293</v>
      </c>
      <c r="C135" s="53" t="s">
        <v>307</v>
      </c>
      <c r="D135" s="53" t="s">
        <v>119</v>
      </c>
      <c r="E135" s="55">
        <v>0</v>
      </c>
      <c r="F135" s="54">
        <v>200</v>
      </c>
      <c r="G135" s="91">
        <v>0</v>
      </c>
      <c r="H135" s="91">
        <f>530-60-470</f>
        <v>0</v>
      </c>
      <c r="I135" s="91" t="e">
        <f t="shared" si="3"/>
        <v>#DIV/0!</v>
      </c>
    </row>
    <row r="136" spans="1:9" ht="16.5" customHeight="1" outlineLevel="1">
      <c r="A136" s="39" t="s">
        <v>309</v>
      </c>
      <c r="B136" s="53" t="s">
        <v>293</v>
      </c>
      <c r="C136" s="53" t="s">
        <v>310</v>
      </c>
      <c r="D136" s="53"/>
      <c r="E136" s="55"/>
      <c r="F136" s="54"/>
      <c r="G136" s="91">
        <f>SUM(G137+G150)</f>
        <v>25658.3</v>
      </c>
      <c r="H136" s="91">
        <f>SUM(H137+H150)</f>
        <v>1200.53469</v>
      </c>
      <c r="I136" s="91">
        <f t="shared" si="3"/>
        <v>4.678933093774724</v>
      </c>
    </row>
    <row r="137" spans="1:9" ht="15.75" outlineLevel="1">
      <c r="A137" s="39" t="s">
        <v>308</v>
      </c>
      <c r="B137" s="53" t="s">
        <v>293</v>
      </c>
      <c r="C137" s="53" t="s">
        <v>311</v>
      </c>
      <c r="D137" s="53"/>
      <c r="E137" s="55"/>
      <c r="F137" s="54"/>
      <c r="G137" s="91">
        <f>SUM(G138+G147+G145)</f>
        <v>19547</v>
      </c>
      <c r="H137" s="91">
        <f>SUM(H138+H147+H145)</f>
        <v>1200.53469</v>
      </c>
      <c r="I137" s="91">
        <f t="shared" si="3"/>
        <v>6.141784877474804</v>
      </c>
    </row>
    <row r="138" spans="1:9" ht="36" outlineLevel="1">
      <c r="A138" s="39" t="s">
        <v>171</v>
      </c>
      <c r="B138" s="53" t="s">
        <v>293</v>
      </c>
      <c r="C138" s="53" t="s">
        <v>311</v>
      </c>
      <c r="D138" s="53" t="s">
        <v>260</v>
      </c>
      <c r="E138" s="55">
        <v>0</v>
      </c>
      <c r="F138" s="54"/>
      <c r="G138" s="91">
        <f>SUM(G139+G143)</f>
        <v>15000</v>
      </c>
      <c r="H138" s="91">
        <f>SUM(H139+H143)</f>
        <v>0</v>
      </c>
      <c r="I138" s="91">
        <f t="shared" si="3"/>
        <v>0</v>
      </c>
    </row>
    <row r="139" spans="1:9" ht="36" hidden="1" outlineLevel="2" collapsed="1">
      <c r="A139" s="39" t="s">
        <v>58</v>
      </c>
      <c r="B139" s="53" t="s">
        <v>293</v>
      </c>
      <c r="C139" s="53" t="s">
        <v>311</v>
      </c>
      <c r="D139" s="53" t="s">
        <v>260</v>
      </c>
      <c r="E139" s="55">
        <v>1</v>
      </c>
      <c r="F139" s="54"/>
      <c r="G139" s="91">
        <f>SUM(G140:G142)</f>
        <v>0</v>
      </c>
      <c r="H139" s="91">
        <f>SUM(H140:H142)</f>
        <v>0</v>
      </c>
      <c r="I139" s="91" t="e">
        <f aca="true" t="shared" si="6" ref="I139:I202">SUM(H139/G139)*100</f>
        <v>#DIV/0!</v>
      </c>
    </row>
    <row r="140" spans="1:9" ht="24" hidden="1" outlineLevel="5">
      <c r="A140" s="39" t="s">
        <v>352</v>
      </c>
      <c r="B140" s="53" t="s">
        <v>293</v>
      </c>
      <c r="C140" s="53" t="s">
        <v>311</v>
      </c>
      <c r="D140" s="53" t="s">
        <v>260</v>
      </c>
      <c r="E140" s="55">
        <v>1</v>
      </c>
      <c r="F140" s="54">
        <v>200</v>
      </c>
      <c r="G140" s="91">
        <v>0</v>
      </c>
      <c r="H140" s="91">
        <v>0</v>
      </c>
      <c r="I140" s="91" t="e">
        <f t="shared" si="6"/>
        <v>#DIV/0!</v>
      </c>
    </row>
    <row r="141" spans="1:9" ht="36" hidden="1" outlineLevel="5">
      <c r="A141" s="39" t="s">
        <v>162</v>
      </c>
      <c r="B141" s="53" t="s">
        <v>293</v>
      </c>
      <c r="C141" s="53" t="s">
        <v>311</v>
      </c>
      <c r="D141" s="53" t="s">
        <v>260</v>
      </c>
      <c r="E141" s="55">
        <v>1</v>
      </c>
      <c r="F141" s="54">
        <v>500</v>
      </c>
      <c r="G141" s="91">
        <v>0</v>
      </c>
      <c r="H141" s="91">
        <v>0</v>
      </c>
      <c r="I141" s="91" t="e">
        <f t="shared" si="6"/>
        <v>#DIV/0!</v>
      </c>
    </row>
    <row r="142" spans="1:9" ht="15.75" hidden="1" outlineLevel="2">
      <c r="A142" s="39" t="s">
        <v>33</v>
      </c>
      <c r="B142" s="53" t="s">
        <v>293</v>
      </c>
      <c r="C142" s="53" t="s">
        <v>311</v>
      </c>
      <c r="D142" s="53" t="s">
        <v>260</v>
      </c>
      <c r="E142" s="55">
        <v>1</v>
      </c>
      <c r="F142" s="54">
        <v>500</v>
      </c>
      <c r="G142" s="91">
        <v>0</v>
      </c>
      <c r="H142" s="91">
        <v>0</v>
      </c>
      <c r="I142" s="91" t="e">
        <f t="shared" si="6"/>
        <v>#DIV/0!</v>
      </c>
    </row>
    <row r="143" spans="1:9" ht="28.5" customHeight="1" outlineLevel="2">
      <c r="A143" s="39" t="s">
        <v>76</v>
      </c>
      <c r="B143" s="53" t="s">
        <v>293</v>
      </c>
      <c r="C143" s="53" t="s">
        <v>311</v>
      </c>
      <c r="D143" s="53" t="s">
        <v>260</v>
      </c>
      <c r="E143" s="55">
        <v>3</v>
      </c>
      <c r="F143" s="54"/>
      <c r="G143" s="91">
        <f>SUM(G144)</f>
        <v>15000</v>
      </c>
      <c r="H143" s="91">
        <f>SUM(H144)</f>
        <v>0</v>
      </c>
      <c r="I143" s="91">
        <f t="shared" si="6"/>
        <v>0</v>
      </c>
    </row>
    <row r="144" spans="1:9" ht="24" outlineLevel="2">
      <c r="A144" s="39" t="s">
        <v>34</v>
      </c>
      <c r="B144" s="53" t="s">
        <v>293</v>
      </c>
      <c r="C144" s="53" t="s">
        <v>311</v>
      </c>
      <c r="D144" s="53" t="s">
        <v>260</v>
      </c>
      <c r="E144" s="55">
        <v>3</v>
      </c>
      <c r="F144" s="54">
        <v>400</v>
      </c>
      <c r="G144" s="91">
        <f>15000</f>
        <v>15000</v>
      </c>
      <c r="H144" s="91">
        <v>0</v>
      </c>
      <c r="I144" s="91">
        <f t="shared" si="6"/>
        <v>0</v>
      </c>
    </row>
    <row r="145" spans="1:9" ht="48" outlineLevel="5">
      <c r="A145" s="39" t="s">
        <v>212</v>
      </c>
      <c r="B145" s="53" t="s">
        <v>293</v>
      </c>
      <c r="C145" s="53" t="s">
        <v>311</v>
      </c>
      <c r="D145" s="53" t="s">
        <v>268</v>
      </c>
      <c r="E145" s="55">
        <v>0</v>
      </c>
      <c r="F145" s="54"/>
      <c r="G145" s="91">
        <f>SUM(G146)</f>
        <v>4000</v>
      </c>
      <c r="H145" s="91">
        <f>SUM(H146)</f>
        <v>689.22073</v>
      </c>
      <c r="I145" s="91">
        <f t="shared" si="6"/>
        <v>17.23051825</v>
      </c>
    </row>
    <row r="146" spans="1:9" ht="24" outlineLevel="5">
      <c r="A146" s="39" t="s">
        <v>31</v>
      </c>
      <c r="B146" s="53" t="s">
        <v>293</v>
      </c>
      <c r="C146" s="53" t="s">
        <v>311</v>
      </c>
      <c r="D146" s="53" t="s">
        <v>268</v>
      </c>
      <c r="E146" s="55">
        <v>0</v>
      </c>
      <c r="F146" s="54">
        <v>600</v>
      </c>
      <c r="G146" s="91">
        <v>4000</v>
      </c>
      <c r="H146" s="91">
        <v>689.22073</v>
      </c>
      <c r="I146" s="91">
        <f t="shared" si="6"/>
        <v>17.23051825</v>
      </c>
    </row>
    <row r="147" spans="1:9" ht="49.5" customHeight="1" outlineLevel="5">
      <c r="A147" s="39" t="s">
        <v>111</v>
      </c>
      <c r="B147" s="53" t="s">
        <v>293</v>
      </c>
      <c r="C147" s="53" t="s">
        <v>311</v>
      </c>
      <c r="D147" s="53"/>
      <c r="E147" s="55"/>
      <c r="F147" s="54"/>
      <c r="G147" s="91">
        <f>SUM(G148)</f>
        <v>547</v>
      </c>
      <c r="H147" s="91">
        <f>SUM(H148)</f>
        <v>511.31396</v>
      </c>
      <c r="I147" s="91">
        <f t="shared" si="6"/>
        <v>93.47604387568555</v>
      </c>
    </row>
    <row r="148" spans="1:9" ht="24" outlineLevel="5">
      <c r="A148" s="39" t="s">
        <v>30</v>
      </c>
      <c r="B148" s="53" t="s">
        <v>293</v>
      </c>
      <c r="C148" s="53" t="s">
        <v>311</v>
      </c>
      <c r="D148" s="53" t="s">
        <v>270</v>
      </c>
      <c r="E148" s="55">
        <v>0</v>
      </c>
      <c r="F148" s="54"/>
      <c r="G148" s="91">
        <f>SUM(G149)</f>
        <v>547</v>
      </c>
      <c r="H148" s="91">
        <f>SUM(H149)</f>
        <v>511.31396</v>
      </c>
      <c r="I148" s="91">
        <f t="shared" si="6"/>
        <v>93.47604387568555</v>
      </c>
    </row>
    <row r="149" spans="1:9" ht="15.75" outlineLevel="5">
      <c r="A149" s="39" t="s">
        <v>19</v>
      </c>
      <c r="B149" s="53" t="s">
        <v>293</v>
      </c>
      <c r="C149" s="53" t="s">
        <v>311</v>
      </c>
      <c r="D149" s="53" t="s">
        <v>270</v>
      </c>
      <c r="E149" s="55">
        <v>0</v>
      </c>
      <c r="F149" s="54">
        <v>800</v>
      </c>
      <c r="G149" s="91">
        <v>547</v>
      </c>
      <c r="H149" s="91">
        <v>511.31396</v>
      </c>
      <c r="I149" s="91">
        <f t="shared" si="6"/>
        <v>93.47604387568555</v>
      </c>
    </row>
    <row r="150" spans="1:9" ht="15.75" outlineLevel="5">
      <c r="A150" s="39" t="s">
        <v>10</v>
      </c>
      <c r="B150" s="53" t="s">
        <v>293</v>
      </c>
      <c r="C150" s="53" t="s">
        <v>9</v>
      </c>
      <c r="D150" s="53"/>
      <c r="E150" s="55"/>
      <c r="F150" s="54"/>
      <c r="G150" s="91">
        <f>SUM(G151+G154)</f>
        <v>6111.3</v>
      </c>
      <c r="H150" s="91">
        <f>SUM(H151+H154)</f>
        <v>0</v>
      </c>
      <c r="I150" s="91">
        <f t="shared" si="6"/>
        <v>0</v>
      </c>
    </row>
    <row r="151" spans="1:9" ht="24" outlineLevel="5">
      <c r="A151" s="39" t="s">
        <v>30</v>
      </c>
      <c r="B151" s="53" t="s">
        <v>293</v>
      </c>
      <c r="C151" s="53" t="s">
        <v>9</v>
      </c>
      <c r="D151" s="53" t="s">
        <v>270</v>
      </c>
      <c r="E151" s="55">
        <v>0</v>
      </c>
      <c r="F151" s="54"/>
      <c r="G151" s="91">
        <f>SUM(G152:G153)</f>
        <v>6111.3</v>
      </c>
      <c r="H151" s="91">
        <f>SUM(H152:H153)</f>
        <v>0</v>
      </c>
      <c r="I151" s="91">
        <f t="shared" si="6"/>
        <v>0</v>
      </c>
    </row>
    <row r="152" spans="1:9" ht="39.75" customHeight="1" outlineLevel="5">
      <c r="A152" s="39" t="s">
        <v>176</v>
      </c>
      <c r="B152" s="53" t="s">
        <v>293</v>
      </c>
      <c r="C152" s="53" t="s">
        <v>9</v>
      </c>
      <c r="D152" s="53" t="s">
        <v>270</v>
      </c>
      <c r="E152" s="55">
        <v>0</v>
      </c>
      <c r="F152" s="54">
        <v>500</v>
      </c>
      <c r="G152" s="91">
        <v>6111.3</v>
      </c>
      <c r="H152" s="91">
        <v>0</v>
      </c>
      <c r="I152" s="91">
        <f t="shared" si="6"/>
        <v>0</v>
      </c>
    </row>
    <row r="153" spans="1:9" ht="26.25" customHeight="1" hidden="1" outlineLevel="5">
      <c r="A153" s="39" t="s">
        <v>191</v>
      </c>
      <c r="B153" s="53" t="s">
        <v>293</v>
      </c>
      <c r="C153" s="53" t="s">
        <v>9</v>
      </c>
      <c r="D153" s="53" t="s">
        <v>270</v>
      </c>
      <c r="E153" s="55">
        <v>0</v>
      </c>
      <c r="F153" s="54">
        <v>200</v>
      </c>
      <c r="G153" s="91">
        <f>500-500</f>
        <v>0</v>
      </c>
      <c r="H153" s="91">
        <v>0</v>
      </c>
      <c r="I153" s="91" t="e">
        <f t="shared" si="6"/>
        <v>#DIV/0!</v>
      </c>
    </row>
    <row r="154" spans="1:9" ht="24" hidden="1" outlineLevel="5">
      <c r="A154" s="39" t="s">
        <v>129</v>
      </c>
      <c r="B154" s="53" t="s">
        <v>293</v>
      </c>
      <c r="C154" s="53" t="s">
        <v>9</v>
      </c>
      <c r="D154" s="53" t="s">
        <v>266</v>
      </c>
      <c r="E154" s="55">
        <v>0</v>
      </c>
      <c r="F154" s="54"/>
      <c r="G154" s="91">
        <f>SUM(G155:G155)</f>
        <v>0</v>
      </c>
      <c r="H154" s="91">
        <f>SUM(H155:H155)</f>
        <v>0</v>
      </c>
      <c r="I154" s="91" t="e">
        <f t="shared" si="6"/>
        <v>#DIV/0!</v>
      </c>
    </row>
    <row r="155" spans="1:9" ht="24" hidden="1" outlineLevel="5">
      <c r="A155" s="39" t="s">
        <v>31</v>
      </c>
      <c r="B155" s="53" t="s">
        <v>293</v>
      </c>
      <c r="C155" s="53" t="s">
        <v>9</v>
      </c>
      <c r="D155" s="53" t="s">
        <v>266</v>
      </c>
      <c r="E155" s="55">
        <v>0</v>
      </c>
      <c r="F155" s="54">
        <v>600</v>
      </c>
      <c r="G155" s="91">
        <v>0</v>
      </c>
      <c r="H155" s="91">
        <v>0</v>
      </c>
      <c r="I155" s="91" t="e">
        <f t="shared" si="6"/>
        <v>#DIV/0!</v>
      </c>
    </row>
    <row r="156" spans="1:9" ht="15.75" outlineLevel="5">
      <c r="A156" s="39" t="s">
        <v>312</v>
      </c>
      <c r="B156" s="53" t="s">
        <v>293</v>
      </c>
      <c r="C156" s="53" t="s">
        <v>365</v>
      </c>
      <c r="D156" s="53"/>
      <c r="E156" s="55"/>
      <c r="F156" s="54"/>
      <c r="G156" s="91">
        <f>SUM(G157)</f>
        <v>835</v>
      </c>
      <c r="H156" s="91">
        <f>SUM(H157)</f>
        <v>0</v>
      </c>
      <c r="I156" s="91">
        <f t="shared" si="6"/>
        <v>0</v>
      </c>
    </row>
    <row r="157" spans="1:9" ht="27" customHeight="1" outlineLevel="5">
      <c r="A157" s="39" t="s">
        <v>206</v>
      </c>
      <c r="B157" s="53" t="s">
        <v>293</v>
      </c>
      <c r="C157" s="53" t="s">
        <v>314</v>
      </c>
      <c r="D157" s="53" t="s">
        <v>269</v>
      </c>
      <c r="E157" s="55">
        <v>0</v>
      </c>
      <c r="F157" s="54"/>
      <c r="G157" s="91">
        <f>SUM(G158:G159)</f>
        <v>835</v>
      </c>
      <c r="H157" s="91">
        <f>SUM(H158:H159)</f>
        <v>0</v>
      </c>
      <c r="I157" s="91">
        <f t="shared" si="6"/>
        <v>0</v>
      </c>
    </row>
    <row r="158" spans="1:9" ht="24.75" customHeight="1" outlineLevel="5">
      <c r="A158" s="39" t="s">
        <v>352</v>
      </c>
      <c r="B158" s="53" t="s">
        <v>293</v>
      </c>
      <c r="C158" s="53" t="s">
        <v>314</v>
      </c>
      <c r="D158" s="53" t="s">
        <v>269</v>
      </c>
      <c r="E158" s="55">
        <v>0</v>
      </c>
      <c r="F158" s="54">
        <v>200</v>
      </c>
      <c r="G158" s="91">
        <v>835</v>
      </c>
      <c r="H158" s="91">
        <v>0</v>
      </c>
      <c r="I158" s="91">
        <f t="shared" si="6"/>
        <v>0</v>
      </c>
    </row>
    <row r="159" spans="1:9" ht="0.75" customHeight="1" hidden="1" outlineLevel="5">
      <c r="A159" s="39" t="s">
        <v>31</v>
      </c>
      <c r="B159" s="53" t="s">
        <v>293</v>
      </c>
      <c r="C159" s="53" t="s">
        <v>314</v>
      </c>
      <c r="D159" s="53" t="s">
        <v>269</v>
      </c>
      <c r="E159" s="55">
        <v>0</v>
      </c>
      <c r="F159" s="54">
        <v>600</v>
      </c>
      <c r="G159" s="91">
        <v>0</v>
      </c>
      <c r="H159" s="91">
        <v>0</v>
      </c>
      <c r="I159" s="91" t="e">
        <f t="shared" si="6"/>
        <v>#DIV/0!</v>
      </c>
    </row>
    <row r="160" spans="1:9" ht="18.75" customHeight="1" outlineLevel="5">
      <c r="A160" s="39" t="s">
        <v>315</v>
      </c>
      <c r="B160" s="53" t="s">
        <v>293</v>
      </c>
      <c r="C160" s="53" t="s">
        <v>318</v>
      </c>
      <c r="D160" s="53"/>
      <c r="E160" s="55"/>
      <c r="F160" s="54"/>
      <c r="G160" s="91">
        <f>SUM(G161+G184+G241+G254+G231)</f>
        <v>404096.0003100001</v>
      </c>
      <c r="H160" s="91">
        <f>SUM(H161+H184+H241+H254+H231)</f>
        <v>61751.521219999995</v>
      </c>
      <c r="I160" s="91">
        <f t="shared" si="6"/>
        <v>15.281398769754622</v>
      </c>
    </row>
    <row r="161" spans="1:9" ht="19.5" customHeight="1" outlineLevel="1">
      <c r="A161" s="39" t="s">
        <v>316</v>
      </c>
      <c r="B161" s="53" t="s">
        <v>293</v>
      </c>
      <c r="C161" s="53" t="s">
        <v>317</v>
      </c>
      <c r="D161" s="53"/>
      <c r="E161" s="55"/>
      <c r="F161" s="54"/>
      <c r="G161" s="91">
        <f>SUM(G162+G170+G168+G176+G181)</f>
        <v>41743.65543</v>
      </c>
      <c r="H161" s="91">
        <f>SUM(H162+H170+H168+H176+H181)</f>
        <v>9439.52011</v>
      </c>
      <c r="I161" s="91">
        <f t="shared" si="6"/>
        <v>22.613065417400126</v>
      </c>
    </row>
    <row r="162" spans="1:9" ht="35.25" customHeight="1" outlineLevel="2" collapsed="1">
      <c r="A162" s="39" t="s">
        <v>171</v>
      </c>
      <c r="B162" s="53" t="s">
        <v>293</v>
      </c>
      <c r="C162" s="53" t="s">
        <v>317</v>
      </c>
      <c r="D162" s="53" t="s">
        <v>260</v>
      </c>
      <c r="E162" s="55">
        <v>0</v>
      </c>
      <c r="F162" s="54"/>
      <c r="G162" s="91">
        <f>SUM(G163+G166)</f>
        <v>202</v>
      </c>
      <c r="H162" s="91">
        <f>SUM(H163+H166)</f>
        <v>0</v>
      </c>
      <c r="I162" s="91">
        <f t="shared" si="6"/>
        <v>0</v>
      </c>
    </row>
    <row r="163" spans="1:9" ht="32.25" customHeight="1" hidden="1" outlineLevel="3">
      <c r="A163" s="39" t="s">
        <v>76</v>
      </c>
      <c r="B163" s="53" t="s">
        <v>293</v>
      </c>
      <c r="C163" s="53" t="s">
        <v>317</v>
      </c>
      <c r="D163" s="53" t="s">
        <v>260</v>
      </c>
      <c r="E163" s="55">
        <v>3</v>
      </c>
      <c r="F163" s="54"/>
      <c r="G163" s="91">
        <f>SUM(G164:G165)</f>
        <v>0</v>
      </c>
      <c r="H163" s="91">
        <f>SUM(H164:H165)</f>
        <v>0</v>
      </c>
      <c r="I163" s="91" t="e">
        <f t="shared" si="6"/>
        <v>#DIV/0!</v>
      </c>
    </row>
    <row r="164" spans="1:9" ht="30" customHeight="1" hidden="1" outlineLevel="3">
      <c r="A164" s="39" t="s">
        <v>34</v>
      </c>
      <c r="B164" s="53" t="s">
        <v>293</v>
      </c>
      <c r="C164" s="53" t="s">
        <v>317</v>
      </c>
      <c r="D164" s="53" t="s">
        <v>260</v>
      </c>
      <c r="E164" s="55">
        <v>3</v>
      </c>
      <c r="F164" s="54">
        <v>400</v>
      </c>
      <c r="G164" s="91">
        <v>0</v>
      </c>
      <c r="H164" s="91">
        <v>0</v>
      </c>
      <c r="I164" s="91" t="e">
        <f t="shared" si="6"/>
        <v>#DIV/0!</v>
      </c>
    </row>
    <row r="165" spans="1:9" ht="24" hidden="1">
      <c r="A165" s="39" t="s">
        <v>31</v>
      </c>
      <c r="B165" s="53" t="s">
        <v>293</v>
      </c>
      <c r="C165" s="53" t="s">
        <v>317</v>
      </c>
      <c r="D165" s="53" t="s">
        <v>260</v>
      </c>
      <c r="E165" s="55">
        <v>3</v>
      </c>
      <c r="F165" s="54">
        <v>600</v>
      </c>
      <c r="G165" s="91">
        <v>0</v>
      </c>
      <c r="H165" s="91">
        <v>0</v>
      </c>
      <c r="I165" s="91" t="e">
        <f t="shared" si="6"/>
        <v>#DIV/0!</v>
      </c>
    </row>
    <row r="166" spans="1:9" ht="27" customHeight="1">
      <c r="A166" s="39" t="s">
        <v>59</v>
      </c>
      <c r="B166" s="53" t="s">
        <v>293</v>
      </c>
      <c r="C166" s="53" t="s">
        <v>317</v>
      </c>
      <c r="D166" s="53" t="s">
        <v>260</v>
      </c>
      <c r="E166" s="55">
        <v>4</v>
      </c>
      <c r="F166" s="54"/>
      <c r="G166" s="91">
        <f>SUM(G167:G167)</f>
        <v>202</v>
      </c>
      <c r="H166" s="91">
        <f>SUM(H167:H167)</f>
        <v>0</v>
      </c>
      <c r="I166" s="91">
        <f t="shared" si="6"/>
        <v>0</v>
      </c>
    </row>
    <row r="167" spans="1:9" ht="23.25" customHeight="1">
      <c r="A167" s="39" t="s">
        <v>31</v>
      </c>
      <c r="B167" s="53" t="s">
        <v>293</v>
      </c>
      <c r="C167" s="53" t="s">
        <v>317</v>
      </c>
      <c r="D167" s="53" t="s">
        <v>260</v>
      </c>
      <c r="E167" s="55">
        <v>4</v>
      </c>
      <c r="F167" s="54">
        <v>600</v>
      </c>
      <c r="G167" s="91">
        <f>350-148</f>
        <v>202</v>
      </c>
      <c r="H167" s="91">
        <v>0</v>
      </c>
      <c r="I167" s="91">
        <f t="shared" si="6"/>
        <v>0</v>
      </c>
    </row>
    <row r="168" spans="1:9" ht="87.75" customHeight="1">
      <c r="A168" s="39" t="s">
        <v>184</v>
      </c>
      <c r="B168" s="53" t="s">
        <v>293</v>
      </c>
      <c r="C168" s="53" t="s">
        <v>317</v>
      </c>
      <c r="D168" s="53" t="s">
        <v>77</v>
      </c>
      <c r="E168" s="55">
        <v>0</v>
      </c>
      <c r="F168" s="54"/>
      <c r="G168" s="91">
        <f>SUM(G169:G169)</f>
        <v>137.05543</v>
      </c>
      <c r="H168" s="91">
        <f>SUM(H169:H169)</f>
        <v>0</v>
      </c>
      <c r="I168" s="91">
        <f t="shared" si="6"/>
        <v>0</v>
      </c>
    </row>
    <row r="169" spans="1:9" ht="27" customHeight="1">
      <c r="A169" s="39" t="s">
        <v>31</v>
      </c>
      <c r="B169" s="53" t="s">
        <v>293</v>
      </c>
      <c r="C169" s="53" t="s">
        <v>317</v>
      </c>
      <c r="D169" s="53" t="s">
        <v>77</v>
      </c>
      <c r="E169" s="55">
        <v>0</v>
      </c>
      <c r="F169" s="54">
        <v>600</v>
      </c>
      <c r="G169" s="91">
        <f>131.17443+5.881</f>
        <v>137.05543</v>
      </c>
      <c r="H169" s="91">
        <v>0</v>
      </c>
      <c r="I169" s="91">
        <f t="shared" si="6"/>
        <v>0</v>
      </c>
    </row>
    <row r="170" spans="1:9" ht="36" outlineLevel="5">
      <c r="A170" s="39" t="s">
        <v>213</v>
      </c>
      <c r="B170" s="53" t="s">
        <v>293</v>
      </c>
      <c r="C170" s="53" t="s">
        <v>317</v>
      </c>
      <c r="D170" s="53" t="s">
        <v>273</v>
      </c>
      <c r="E170" s="55">
        <v>0</v>
      </c>
      <c r="F170" s="54"/>
      <c r="G170" s="91">
        <f>SUM(G171:G175)</f>
        <v>27015.100000000002</v>
      </c>
      <c r="H170" s="91">
        <f>SUM(H171:H175)</f>
        <v>6684.9384</v>
      </c>
      <c r="I170" s="91">
        <f t="shared" si="6"/>
        <v>24.74519213328842</v>
      </c>
    </row>
    <row r="171" spans="1:9" ht="24" outlineLevel="5">
      <c r="A171" s="39" t="s">
        <v>31</v>
      </c>
      <c r="B171" s="53" t="s">
        <v>293</v>
      </c>
      <c r="C171" s="53" t="s">
        <v>317</v>
      </c>
      <c r="D171" s="53" t="s">
        <v>273</v>
      </c>
      <c r="E171" s="55">
        <v>0</v>
      </c>
      <c r="F171" s="54">
        <v>600</v>
      </c>
      <c r="G171" s="91">
        <f>10500+110.7</f>
        <v>10610.7</v>
      </c>
      <c r="H171" s="91">
        <v>3262.15126</v>
      </c>
      <c r="I171" s="91">
        <f t="shared" si="6"/>
        <v>30.74397787139397</v>
      </c>
    </row>
    <row r="172" spans="1:9" ht="33.75" customHeight="1" outlineLevel="5">
      <c r="A172" s="39" t="s">
        <v>23</v>
      </c>
      <c r="B172" s="53" t="s">
        <v>293</v>
      </c>
      <c r="C172" s="53" t="s">
        <v>317</v>
      </c>
      <c r="D172" s="53" t="s">
        <v>273</v>
      </c>
      <c r="E172" s="55">
        <v>0</v>
      </c>
      <c r="F172" s="54">
        <v>600</v>
      </c>
      <c r="G172" s="91">
        <v>16369.5</v>
      </c>
      <c r="H172" s="91">
        <v>3420.94454</v>
      </c>
      <c r="I172" s="91">
        <f t="shared" si="6"/>
        <v>20.898283637252206</v>
      </c>
    </row>
    <row r="173" spans="1:9" ht="34.5" customHeight="1" hidden="1" outlineLevel="5">
      <c r="A173" s="39" t="s">
        <v>145</v>
      </c>
      <c r="B173" s="53" t="s">
        <v>293</v>
      </c>
      <c r="C173" s="53" t="s">
        <v>317</v>
      </c>
      <c r="D173" s="53" t="s">
        <v>273</v>
      </c>
      <c r="E173" s="55">
        <v>0</v>
      </c>
      <c r="F173" s="54">
        <v>600</v>
      </c>
      <c r="G173" s="91">
        <v>0</v>
      </c>
      <c r="H173" s="91">
        <v>0</v>
      </c>
      <c r="I173" s="91" t="e">
        <f t="shared" si="6"/>
        <v>#DIV/0!</v>
      </c>
    </row>
    <row r="174" spans="1:9" ht="29.25" customHeight="1" outlineLevel="5">
      <c r="A174" s="39" t="s">
        <v>35</v>
      </c>
      <c r="B174" s="53" t="s">
        <v>293</v>
      </c>
      <c r="C174" s="53" t="s">
        <v>317</v>
      </c>
      <c r="D174" s="53" t="s">
        <v>273</v>
      </c>
      <c r="E174" s="55">
        <v>0</v>
      </c>
      <c r="F174" s="54">
        <v>600</v>
      </c>
      <c r="G174" s="91">
        <v>34.9</v>
      </c>
      <c r="H174" s="91">
        <v>1.8426</v>
      </c>
      <c r="I174" s="91">
        <f t="shared" si="6"/>
        <v>5.279656160458453</v>
      </c>
    </row>
    <row r="175" spans="1:9" ht="96" hidden="1" outlineLevel="5">
      <c r="A175" s="39" t="s">
        <v>123</v>
      </c>
      <c r="B175" s="53" t="s">
        <v>293</v>
      </c>
      <c r="C175" s="53" t="s">
        <v>317</v>
      </c>
      <c r="D175" s="53" t="s">
        <v>273</v>
      </c>
      <c r="E175" s="55">
        <v>0</v>
      </c>
      <c r="F175" s="54">
        <v>600</v>
      </c>
      <c r="G175" s="91">
        <v>0</v>
      </c>
      <c r="H175" s="91">
        <v>0</v>
      </c>
      <c r="I175" s="91" t="e">
        <f t="shared" si="6"/>
        <v>#DIV/0!</v>
      </c>
    </row>
    <row r="176" spans="1:9" ht="29.25" customHeight="1" outlineLevel="5">
      <c r="A176" s="39" t="s">
        <v>190</v>
      </c>
      <c r="B176" s="53" t="s">
        <v>293</v>
      </c>
      <c r="C176" s="53" t="s">
        <v>317</v>
      </c>
      <c r="D176" s="53" t="s">
        <v>274</v>
      </c>
      <c r="E176" s="55">
        <v>0</v>
      </c>
      <c r="F176" s="98"/>
      <c r="G176" s="97">
        <f>SUM(G177)</f>
        <v>14121.9</v>
      </c>
      <c r="H176" s="97">
        <f>SUM(H177)</f>
        <v>2754.58171</v>
      </c>
      <c r="I176" s="91">
        <f t="shared" si="6"/>
        <v>19.5057443403508</v>
      </c>
    </row>
    <row r="177" spans="1:9" ht="15.75" outlineLevel="5">
      <c r="A177" s="39" t="s">
        <v>146</v>
      </c>
      <c r="B177" s="53" t="s">
        <v>293</v>
      </c>
      <c r="C177" s="53" t="s">
        <v>317</v>
      </c>
      <c r="D177" s="53" t="s">
        <v>274</v>
      </c>
      <c r="E177" s="55">
        <v>1</v>
      </c>
      <c r="F177" s="98"/>
      <c r="G177" s="97">
        <f>SUM(G178:G180)</f>
        <v>14121.9</v>
      </c>
      <c r="H177" s="97">
        <f>SUM(H178:H180)</f>
        <v>2754.58171</v>
      </c>
      <c r="I177" s="91">
        <f t="shared" si="6"/>
        <v>19.5057443403508</v>
      </c>
    </row>
    <row r="178" spans="1:9" ht="66.75" customHeight="1" outlineLevel="5">
      <c r="A178" s="39" t="s">
        <v>101</v>
      </c>
      <c r="B178" s="53" t="s">
        <v>293</v>
      </c>
      <c r="C178" s="53" t="s">
        <v>317</v>
      </c>
      <c r="D178" s="53" t="s">
        <v>274</v>
      </c>
      <c r="E178" s="55">
        <v>1</v>
      </c>
      <c r="F178" s="54">
        <v>600</v>
      </c>
      <c r="G178" s="91">
        <v>10121.9</v>
      </c>
      <c r="H178" s="91">
        <v>1883.58211</v>
      </c>
      <c r="I178" s="91">
        <f t="shared" si="6"/>
        <v>18.608977662296606</v>
      </c>
    </row>
    <row r="179" spans="1:9" ht="36" hidden="1" outlineLevel="5">
      <c r="A179" s="39" t="s">
        <v>145</v>
      </c>
      <c r="B179" s="53" t="s">
        <v>293</v>
      </c>
      <c r="C179" s="53" t="s">
        <v>317</v>
      </c>
      <c r="D179" s="53" t="s">
        <v>274</v>
      </c>
      <c r="E179" s="55">
        <v>1</v>
      </c>
      <c r="F179" s="54">
        <v>600</v>
      </c>
      <c r="G179" s="91">
        <v>0</v>
      </c>
      <c r="H179" s="91">
        <v>0</v>
      </c>
      <c r="I179" s="91" t="e">
        <f t="shared" si="6"/>
        <v>#DIV/0!</v>
      </c>
    </row>
    <row r="180" spans="1:9" ht="31.5" customHeight="1" outlineLevel="5">
      <c r="A180" s="39" t="s">
        <v>31</v>
      </c>
      <c r="B180" s="53" t="s">
        <v>293</v>
      </c>
      <c r="C180" s="53" t="s">
        <v>317</v>
      </c>
      <c r="D180" s="53" t="s">
        <v>274</v>
      </c>
      <c r="E180" s="55">
        <v>1</v>
      </c>
      <c r="F180" s="54">
        <v>600</v>
      </c>
      <c r="G180" s="91">
        <v>4000</v>
      </c>
      <c r="H180" s="91">
        <v>870.9996</v>
      </c>
      <c r="I180" s="91">
        <f t="shared" si="6"/>
        <v>21.77499</v>
      </c>
    </row>
    <row r="181" spans="1:9" ht="28.5" customHeight="1" outlineLevel="5">
      <c r="A181" s="39" t="s">
        <v>30</v>
      </c>
      <c r="B181" s="53" t="s">
        <v>293</v>
      </c>
      <c r="C181" s="53" t="s">
        <v>317</v>
      </c>
      <c r="D181" s="53" t="s">
        <v>270</v>
      </c>
      <c r="E181" s="55">
        <v>0</v>
      </c>
      <c r="F181" s="54"/>
      <c r="G181" s="91">
        <f>SUM(G182)</f>
        <v>267.6</v>
      </c>
      <c r="H181" s="91">
        <f>SUM(H182)</f>
        <v>0</v>
      </c>
      <c r="I181" s="91">
        <f t="shared" si="6"/>
        <v>0</v>
      </c>
    </row>
    <row r="182" spans="1:9" ht="15.75" outlineLevel="5">
      <c r="A182" s="39" t="s">
        <v>177</v>
      </c>
      <c r="B182" s="53" t="s">
        <v>293</v>
      </c>
      <c r="C182" s="53" t="s">
        <v>317</v>
      </c>
      <c r="D182" s="53" t="s">
        <v>270</v>
      </c>
      <c r="E182" s="55">
        <v>0</v>
      </c>
      <c r="F182" s="54"/>
      <c r="G182" s="91">
        <f>SUM(G183)</f>
        <v>267.6</v>
      </c>
      <c r="H182" s="91">
        <f>SUM(H183)</f>
        <v>0</v>
      </c>
      <c r="I182" s="91">
        <f t="shared" si="6"/>
        <v>0</v>
      </c>
    </row>
    <row r="183" spans="1:9" ht="24" outlineLevel="5">
      <c r="A183" s="39" t="s">
        <v>31</v>
      </c>
      <c r="B183" s="53" t="s">
        <v>293</v>
      </c>
      <c r="C183" s="53" t="s">
        <v>317</v>
      </c>
      <c r="D183" s="53" t="s">
        <v>270</v>
      </c>
      <c r="E183" s="55">
        <v>0</v>
      </c>
      <c r="F183" s="54">
        <v>600</v>
      </c>
      <c r="G183" s="91">
        <v>267.6</v>
      </c>
      <c r="H183" s="91">
        <v>0</v>
      </c>
      <c r="I183" s="91">
        <f t="shared" si="6"/>
        <v>0</v>
      </c>
    </row>
    <row r="184" spans="1:9" ht="20.25" customHeight="1" outlineLevel="5">
      <c r="A184" s="39" t="s">
        <v>323</v>
      </c>
      <c r="B184" s="53" t="s">
        <v>293</v>
      </c>
      <c r="C184" s="53" t="s">
        <v>319</v>
      </c>
      <c r="D184" s="53"/>
      <c r="E184" s="55"/>
      <c r="F184" s="54"/>
      <c r="G184" s="97">
        <f>SUM(G185)</f>
        <v>337905.6649000001</v>
      </c>
      <c r="H184" s="97">
        <f>SUM(H185)</f>
        <v>47463.74797999999</v>
      </c>
      <c r="I184" s="91">
        <f t="shared" si="6"/>
        <v>14.046449323081466</v>
      </c>
    </row>
    <row r="185" spans="1:9" ht="23.25" customHeight="1" outlineLevel="5">
      <c r="A185" s="39" t="s">
        <v>320</v>
      </c>
      <c r="B185" s="53" t="s">
        <v>293</v>
      </c>
      <c r="C185" s="53" t="s">
        <v>319</v>
      </c>
      <c r="D185" s="53"/>
      <c r="E185" s="55"/>
      <c r="F185" s="54"/>
      <c r="G185" s="91">
        <f>SUM(G186+G200+G197+G194)</f>
        <v>337905.6649000001</v>
      </c>
      <c r="H185" s="91">
        <f>SUM(H186+H200+H197+H194)</f>
        <v>47463.74797999999</v>
      </c>
      <c r="I185" s="91">
        <f t="shared" si="6"/>
        <v>14.046449323081466</v>
      </c>
    </row>
    <row r="186" spans="1:9" ht="42" customHeight="1" outlineLevel="5">
      <c r="A186" s="39" t="s">
        <v>171</v>
      </c>
      <c r="B186" s="53" t="s">
        <v>293</v>
      </c>
      <c r="C186" s="53" t="s">
        <v>319</v>
      </c>
      <c r="D186" s="53" t="s">
        <v>260</v>
      </c>
      <c r="E186" s="55">
        <v>0</v>
      </c>
      <c r="F186" s="54"/>
      <c r="G186" s="91">
        <f>SUM(G187+G190)</f>
        <v>1269.70958</v>
      </c>
      <c r="H186" s="91">
        <f>SUM(H187+H190)</f>
        <v>816.0571</v>
      </c>
      <c r="I186" s="91">
        <f t="shared" si="6"/>
        <v>64.27116191404967</v>
      </c>
    </row>
    <row r="187" spans="1:9" ht="33.75" customHeight="1" outlineLevel="5">
      <c r="A187" s="39" t="s">
        <v>76</v>
      </c>
      <c r="B187" s="53" t="s">
        <v>293</v>
      </c>
      <c r="C187" s="53" t="s">
        <v>319</v>
      </c>
      <c r="D187" s="53" t="s">
        <v>260</v>
      </c>
      <c r="E187" s="55">
        <v>3</v>
      </c>
      <c r="F187" s="54"/>
      <c r="G187" s="91">
        <f>SUM(G188:G189)</f>
        <v>422.70958</v>
      </c>
      <c r="H187" s="91">
        <f>SUM(H188:H189)</f>
        <v>373.0361</v>
      </c>
      <c r="I187" s="91">
        <f t="shared" si="6"/>
        <v>88.24879246881511</v>
      </c>
    </row>
    <row r="188" spans="1:9" ht="1.5" customHeight="1" hidden="1" outlineLevel="5">
      <c r="A188" s="39" t="s">
        <v>352</v>
      </c>
      <c r="B188" s="53" t="s">
        <v>293</v>
      </c>
      <c r="C188" s="53" t="s">
        <v>319</v>
      </c>
      <c r="D188" s="53" t="s">
        <v>260</v>
      </c>
      <c r="E188" s="55">
        <v>3</v>
      </c>
      <c r="F188" s="54">
        <v>200</v>
      </c>
      <c r="G188" s="91">
        <v>0</v>
      </c>
      <c r="H188" s="91">
        <v>0</v>
      </c>
      <c r="I188" s="91" t="e">
        <f t="shared" si="6"/>
        <v>#DIV/0!</v>
      </c>
    </row>
    <row r="189" spans="1:9" ht="24" outlineLevel="5">
      <c r="A189" s="39" t="s">
        <v>31</v>
      </c>
      <c r="B189" s="53" t="s">
        <v>293</v>
      </c>
      <c r="C189" s="53" t="s">
        <v>319</v>
      </c>
      <c r="D189" s="53" t="s">
        <v>260</v>
      </c>
      <c r="E189" s="55">
        <v>3</v>
      </c>
      <c r="F189" s="54">
        <v>600</v>
      </c>
      <c r="G189" s="91">
        <f>299.4736+80+36.8421+6.39388</f>
        <v>422.70958</v>
      </c>
      <c r="H189" s="91">
        <v>373.0361</v>
      </c>
      <c r="I189" s="91">
        <f t="shared" si="6"/>
        <v>88.24879246881511</v>
      </c>
    </row>
    <row r="190" spans="1:9" ht="28.5" customHeight="1" outlineLevel="5">
      <c r="A190" s="39" t="s">
        <v>59</v>
      </c>
      <c r="B190" s="53" t="s">
        <v>293</v>
      </c>
      <c r="C190" s="53" t="s">
        <v>319</v>
      </c>
      <c r="D190" s="53" t="s">
        <v>260</v>
      </c>
      <c r="E190" s="55">
        <v>4</v>
      </c>
      <c r="F190" s="54"/>
      <c r="G190" s="91">
        <f>SUM(G191:G193)</f>
        <v>847</v>
      </c>
      <c r="H190" s="91">
        <f>SUM(H191:H193)</f>
        <v>443.021</v>
      </c>
      <c r="I190" s="91">
        <f t="shared" si="6"/>
        <v>52.3047225501771</v>
      </c>
    </row>
    <row r="191" spans="1:9" ht="24" customHeight="1" outlineLevel="5">
      <c r="A191" s="39" t="s">
        <v>352</v>
      </c>
      <c r="B191" s="53" t="s">
        <v>293</v>
      </c>
      <c r="C191" s="53" t="s">
        <v>319</v>
      </c>
      <c r="D191" s="53" t="s">
        <v>260</v>
      </c>
      <c r="E191" s="55">
        <v>4</v>
      </c>
      <c r="F191" s="54">
        <v>200</v>
      </c>
      <c r="G191" s="91">
        <v>40</v>
      </c>
      <c r="H191" s="91">
        <v>0</v>
      </c>
      <c r="I191" s="91">
        <f t="shared" si="6"/>
        <v>0</v>
      </c>
    </row>
    <row r="192" spans="1:9" ht="30" customHeight="1" outlineLevel="5">
      <c r="A192" s="39" t="s">
        <v>31</v>
      </c>
      <c r="B192" s="53" t="s">
        <v>293</v>
      </c>
      <c r="C192" s="53" t="s">
        <v>319</v>
      </c>
      <c r="D192" s="53" t="s">
        <v>260</v>
      </c>
      <c r="E192" s="55">
        <v>4</v>
      </c>
      <c r="F192" s="54">
        <v>600</v>
      </c>
      <c r="G192" s="91">
        <f>560+247</f>
        <v>807</v>
      </c>
      <c r="H192" s="91">
        <v>443.021</v>
      </c>
      <c r="I192" s="91">
        <f t="shared" si="6"/>
        <v>54.897273853779424</v>
      </c>
    </row>
    <row r="193" spans="1:9" ht="51.75" customHeight="1" hidden="1" outlineLevel="5">
      <c r="A193" s="39" t="s">
        <v>133</v>
      </c>
      <c r="B193" s="53" t="s">
        <v>293</v>
      </c>
      <c r="C193" s="53" t="s">
        <v>319</v>
      </c>
      <c r="D193" s="53" t="s">
        <v>260</v>
      </c>
      <c r="E193" s="55">
        <v>4</v>
      </c>
      <c r="F193" s="54">
        <v>600</v>
      </c>
      <c r="G193" s="91">
        <v>0</v>
      </c>
      <c r="H193" s="91">
        <v>0</v>
      </c>
      <c r="I193" s="91" t="e">
        <f t="shared" si="6"/>
        <v>#DIV/0!</v>
      </c>
    </row>
    <row r="194" spans="1:9" ht="28.5" customHeight="1" hidden="1" outlineLevel="5">
      <c r="A194" s="39" t="s">
        <v>112</v>
      </c>
      <c r="B194" s="53" t="s">
        <v>293</v>
      </c>
      <c r="C194" s="53" t="s">
        <v>319</v>
      </c>
      <c r="D194" s="53" t="s">
        <v>272</v>
      </c>
      <c r="E194" s="55">
        <v>0</v>
      </c>
      <c r="F194" s="54"/>
      <c r="G194" s="91">
        <f>SUM(G195:G196)</f>
        <v>0</v>
      </c>
      <c r="H194" s="91">
        <f>SUM(H195:H196)</f>
        <v>0</v>
      </c>
      <c r="I194" s="91" t="e">
        <f t="shared" si="6"/>
        <v>#DIV/0!</v>
      </c>
    </row>
    <row r="195" spans="1:9" ht="61.5" customHeight="1" hidden="1" outlineLevel="5">
      <c r="A195" s="39" t="s">
        <v>136</v>
      </c>
      <c r="B195" s="53" t="s">
        <v>293</v>
      </c>
      <c r="C195" s="53" t="s">
        <v>319</v>
      </c>
      <c r="D195" s="53" t="s">
        <v>272</v>
      </c>
      <c r="E195" s="55">
        <v>0</v>
      </c>
      <c r="F195" s="54">
        <v>600</v>
      </c>
      <c r="G195" s="91">
        <v>0</v>
      </c>
      <c r="H195" s="91">
        <v>0</v>
      </c>
      <c r="I195" s="91" t="e">
        <f t="shared" si="6"/>
        <v>#DIV/0!</v>
      </c>
    </row>
    <row r="196" spans="1:9" ht="0.75" customHeight="1" hidden="1" outlineLevel="5">
      <c r="A196" s="39" t="s">
        <v>137</v>
      </c>
      <c r="B196" s="53" t="s">
        <v>293</v>
      </c>
      <c r="C196" s="53" t="s">
        <v>319</v>
      </c>
      <c r="D196" s="53" t="s">
        <v>272</v>
      </c>
      <c r="E196" s="55">
        <v>0</v>
      </c>
      <c r="F196" s="54">
        <v>600</v>
      </c>
      <c r="G196" s="91">
        <v>0</v>
      </c>
      <c r="H196" s="91">
        <v>0</v>
      </c>
      <c r="I196" s="91" t="e">
        <f t="shared" si="6"/>
        <v>#DIV/0!</v>
      </c>
    </row>
    <row r="197" spans="1:9" ht="87.75" customHeight="1" outlineLevel="3">
      <c r="A197" s="39" t="s">
        <v>184</v>
      </c>
      <c r="B197" s="53" t="s">
        <v>293</v>
      </c>
      <c r="C197" s="53" t="s">
        <v>319</v>
      </c>
      <c r="D197" s="53" t="s">
        <v>77</v>
      </c>
      <c r="E197" s="55">
        <v>0</v>
      </c>
      <c r="F197" s="54"/>
      <c r="G197" s="91">
        <f>SUM(G198:G199)</f>
        <v>1371.1667899999998</v>
      </c>
      <c r="H197" s="91">
        <f>SUM(H198:H199)</f>
        <v>0</v>
      </c>
      <c r="I197" s="91">
        <f t="shared" si="6"/>
        <v>0</v>
      </c>
    </row>
    <row r="198" spans="1:9" ht="27.75" customHeight="1" outlineLevel="3">
      <c r="A198" s="39" t="s">
        <v>352</v>
      </c>
      <c r="B198" s="53" t="s">
        <v>293</v>
      </c>
      <c r="C198" s="53" t="s">
        <v>319</v>
      </c>
      <c r="D198" s="53" t="s">
        <v>77</v>
      </c>
      <c r="E198" s="55">
        <v>0</v>
      </c>
      <c r="F198" s="54">
        <v>200</v>
      </c>
      <c r="G198" s="91">
        <v>50.72022</v>
      </c>
      <c r="H198" s="91">
        <v>0</v>
      </c>
      <c r="I198" s="91">
        <f t="shared" si="6"/>
        <v>0</v>
      </c>
    </row>
    <row r="199" spans="1:9" ht="24" outlineLevel="3">
      <c r="A199" s="39" t="s">
        <v>31</v>
      </c>
      <c r="B199" s="53" t="s">
        <v>293</v>
      </c>
      <c r="C199" s="53" t="s">
        <v>319</v>
      </c>
      <c r="D199" s="53" t="s">
        <v>77</v>
      </c>
      <c r="E199" s="55">
        <v>0</v>
      </c>
      <c r="F199" s="54">
        <v>600</v>
      </c>
      <c r="G199" s="91">
        <f>1326.32757-5.881</f>
        <v>1320.4465699999998</v>
      </c>
      <c r="H199" s="91">
        <v>0</v>
      </c>
      <c r="I199" s="91">
        <f t="shared" si="6"/>
        <v>0</v>
      </c>
    </row>
    <row r="200" spans="1:9" ht="25.5" customHeight="1" outlineLevel="3">
      <c r="A200" s="39" t="s">
        <v>190</v>
      </c>
      <c r="B200" s="53" t="s">
        <v>293</v>
      </c>
      <c r="C200" s="53" t="s">
        <v>319</v>
      </c>
      <c r="D200" s="53" t="s">
        <v>274</v>
      </c>
      <c r="E200" s="55">
        <v>0</v>
      </c>
      <c r="F200" s="98"/>
      <c r="G200" s="97">
        <f>SUM(G201)</f>
        <v>335264.7885300001</v>
      </c>
      <c r="H200" s="97">
        <f>SUM(H201)</f>
        <v>46647.690879999995</v>
      </c>
      <c r="I200" s="91">
        <f t="shared" si="6"/>
        <v>13.913686278994932</v>
      </c>
    </row>
    <row r="201" spans="1:9" ht="15.75" outlineLevel="3">
      <c r="A201" s="39" t="s">
        <v>147</v>
      </c>
      <c r="B201" s="53" t="s">
        <v>293</v>
      </c>
      <c r="C201" s="53" t="s">
        <v>319</v>
      </c>
      <c r="D201" s="53" t="s">
        <v>274</v>
      </c>
      <c r="E201" s="55">
        <v>2</v>
      </c>
      <c r="F201" s="98"/>
      <c r="G201" s="97">
        <f>SUM(G202+G215)</f>
        <v>335264.7885300001</v>
      </c>
      <c r="H201" s="97">
        <f>SUM(H202+H215)</f>
        <v>46647.690879999995</v>
      </c>
      <c r="I201" s="91">
        <f t="shared" si="6"/>
        <v>13.913686278994932</v>
      </c>
    </row>
    <row r="202" spans="1:9" ht="16.5" customHeight="1" outlineLevel="3">
      <c r="A202" s="39" t="s">
        <v>322</v>
      </c>
      <c r="B202" s="53" t="s">
        <v>293</v>
      </c>
      <c r="C202" s="53" t="s">
        <v>319</v>
      </c>
      <c r="D202" s="53" t="s">
        <v>274</v>
      </c>
      <c r="E202" s="55">
        <v>2</v>
      </c>
      <c r="F202" s="54"/>
      <c r="G202" s="91">
        <f>SUM(G203:G214)</f>
        <v>23964.235569999997</v>
      </c>
      <c r="H202" s="91">
        <f>SUM(H203:H214)</f>
        <v>9118.9221</v>
      </c>
      <c r="I202" s="91">
        <f t="shared" si="6"/>
        <v>38.052213572026744</v>
      </c>
    </row>
    <row r="203" spans="1:9" ht="0.75" customHeight="1" hidden="1" outlineLevel="3">
      <c r="A203" s="39" t="s">
        <v>351</v>
      </c>
      <c r="B203" s="53" t="s">
        <v>293</v>
      </c>
      <c r="C203" s="53" t="s">
        <v>319</v>
      </c>
      <c r="D203" s="53" t="s">
        <v>274</v>
      </c>
      <c r="E203" s="55">
        <v>2</v>
      </c>
      <c r="F203" s="54">
        <v>100</v>
      </c>
      <c r="G203" s="91">
        <f>100+38.5901-43.595-94.9951</f>
        <v>0</v>
      </c>
      <c r="H203" s="91">
        <v>0</v>
      </c>
      <c r="I203" s="91" t="e">
        <f aca="true" t="shared" si="7" ref="I203:I266">SUM(H203/G203)*100</f>
        <v>#DIV/0!</v>
      </c>
    </row>
    <row r="204" spans="1:9" ht="28.5" customHeight="1" outlineLevel="3">
      <c r="A204" s="39" t="s">
        <v>352</v>
      </c>
      <c r="B204" s="53" t="s">
        <v>293</v>
      </c>
      <c r="C204" s="53" t="s">
        <v>319</v>
      </c>
      <c r="D204" s="53" t="s">
        <v>274</v>
      </c>
      <c r="E204" s="55">
        <v>2</v>
      </c>
      <c r="F204" s="54">
        <v>200</v>
      </c>
      <c r="G204" s="91">
        <f>622+100</f>
        <v>722</v>
      </c>
      <c r="H204" s="91">
        <v>198.20283</v>
      </c>
      <c r="I204" s="91">
        <f t="shared" si="7"/>
        <v>27.451915512465376</v>
      </c>
    </row>
    <row r="205" spans="1:9" ht="72" outlineLevel="3">
      <c r="A205" s="39" t="s">
        <v>218</v>
      </c>
      <c r="B205" s="53" t="s">
        <v>293</v>
      </c>
      <c r="C205" s="53" t="s">
        <v>319</v>
      </c>
      <c r="D205" s="53" t="s">
        <v>274</v>
      </c>
      <c r="E205" s="55">
        <v>2</v>
      </c>
      <c r="F205" s="54">
        <v>200</v>
      </c>
      <c r="G205" s="91">
        <v>22.42</v>
      </c>
      <c r="H205" s="91">
        <v>6.85041</v>
      </c>
      <c r="I205" s="91">
        <f t="shared" si="7"/>
        <v>30.554906333630683</v>
      </c>
    </row>
    <row r="206" spans="1:9" ht="48" outlineLevel="3">
      <c r="A206" s="39" t="s">
        <v>221</v>
      </c>
      <c r="B206" s="53" t="s">
        <v>293</v>
      </c>
      <c r="C206" s="53" t="s">
        <v>319</v>
      </c>
      <c r="D206" s="53" t="s">
        <v>274</v>
      </c>
      <c r="E206" s="55">
        <v>2</v>
      </c>
      <c r="F206" s="54">
        <v>200</v>
      </c>
      <c r="G206" s="91">
        <v>29.89</v>
      </c>
      <c r="H206" s="91">
        <v>5.23062</v>
      </c>
      <c r="I206" s="91">
        <f t="shared" si="7"/>
        <v>17.499565071930412</v>
      </c>
    </row>
    <row r="207" spans="1:9" ht="15.75" outlineLevel="3">
      <c r="A207" s="39" t="s">
        <v>19</v>
      </c>
      <c r="B207" s="53" t="s">
        <v>293</v>
      </c>
      <c r="C207" s="53" t="s">
        <v>319</v>
      </c>
      <c r="D207" s="53" t="s">
        <v>274</v>
      </c>
      <c r="E207" s="55">
        <v>2</v>
      </c>
      <c r="F207" s="54">
        <v>800</v>
      </c>
      <c r="G207" s="91">
        <v>30</v>
      </c>
      <c r="H207" s="91">
        <v>6.50712</v>
      </c>
      <c r="I207" s="91">
        <f t="shared" si="7"/>
        <v>21.690399999999997</v>
      </c>
    </row>
    <row r="208" spans="1:9" ht="48" outlineLevel="3">
      <c r="A208" s="39" t="s">
        <v>222</v>
      </c>
      <c r="B208" s="53" t="s">
        <v>293</v>
      </c>
      <c r="C208" s="53" t="s">
        <v>319</v>
      </c>
      <c r="D208" s="53" t="s">
        <v>274</v>
      </c>
      <c r="E208" s="55">
        <v>2</v>
      </c>
      <c r="F208" s="54">
        <v>600</v>
      </c>
      <c r="G208" s="91">
        <v>1928.2095</v>
      </c>
      <c r="H208" s="91">
        <v>422.29169</v>
      </c>
      <c r="I208" s="91">
        <f t="shared" si="7"/>
        <v>21.90071618255174</v>
      </c>
    </row>
    <row r="209" spans="1:9" ht="29.25" customHeight="1" outlineLevel="3">
      <c r="A209" s="39" t="s">
        <v>31</v>
      </c>
      <c r="B209" s="53" t="s">
        <v>293</v>
      </c>
      <c r="C209" s="53" t="s">
        <v>319</v>
      </c>
      <c r="D209" s="53" t="s">
        <v>274</v>
      </c>
      <c r="E209" s="55">
        <v>2</v>
      </c>
      <c r="F209" s="54">
        <v>600</v>
      </c>
      <c r="G209" s="91">
        <f>19500+224.807-G206-G208+461</f>
        <v>18227.7075</v>
      </c>
      <c r="H209" s="91">
        <v>8011.09499</v>
      </c>
      <c r="I209" s="91">
        <f t="shared" si="7"/>
        <v>43.95009624770421</v>
      </c>
    </row>
    <row r="210" spans="1:9" ht="36.75" customHeight="1" outlineLevel="3">
      <c r="A210" s="39" t="s">
        <v>195</v>
      </c>
      <c r="B210" s="53" t="s">
        <v>293</v>
      </c>
      <c r="C210" s="53" t="s">
        <v>319</v>
      </c>
      <c r="D210" s="53" t="s">
        <v>274</v>
      </c>
      <c r="E210" s="55">
        <v>2</v>
      </c>
      <c r="F210" s="54">
        <v>600</v>
      </c>
      <c r="G210" s="91">
        <v>25</v>
      </c>
      <c r="H210" s="91">
        <v>25</v>
      </c>
      <c r="I210" s="91">
        <f t="shared" si="7"/>
        <v>100</v>
      </c>
    </row>
    <row r="211" spans="1:9" ht="36.75" customHeight="1" outlineLevel="3">
      <c r="A211" s="39" t="s">
        <v>200</v>
      </c>
      <c r="B211" s="53" t="s">
        <v>293</v>
      </c>
      <c r="C211" s="53" t="s">
        <v>319</v>
      </c>
      <c r="D211" s="53" t="s">
        <v>274</v>
      </c>
      <c r="E211" s="55">
        <v>2</v>
      </c>
      <c r="F211" s="54">
        <v>600</v>
      </c>
      <c r="G211" s="91">
        <v>1191.24814</v>
      </c>
      <c r="H211" s="91">
        <v>0</v>
      </c>
      <c r="I211" s="91">
        <f t="shared" si="7"/>
        <v>0</v>
      </c>
    </row>
    <row r="212" spans="1:9" ht="41.25" customHeight="1" outlineLevel="3">
      <c r="A212" s="39" t="s">
        <v>232</v>
      </c>
      <c r="B212" s="53" t="s">
        <v>293</v>
      </c>
      <c r="C212" s="53" t="s">
        <v>319</v>
      </c>
      <c r="D212" s="53" t="s">
        <v>274</v>
      </c>
      <c r="E212" s="55">
        <v>2</v>
      </c>
      <c r="F212" s="54">
        <v>600</v>
      </c>
      <c r="G212" s="91">
        <f>121.88888+0.00001</f>
        <v>121.88889</v>
      </c>
      <c r="H212" s="91">
        <v>40</v>
      </c>
      <c r="I212" s="91">
        <f t="shared" si="7"/>
        <v>32.8167727181698</v>
      </c>
    </row>
    <row r="213" spans="1:9" ht="60.75" customHeight="1" outlineLevel="3">
      <c r="A213" s="39" t="s">
        <v>219</v>
      </c>
      <c r="B213" s="53" t="s">
        <v>293</v>
      </c>
      <c r="C213" s="53" t="s">
        <v>319</v>
      </c>
      <c r="D213" s="53" t="s">
        <v>274</v>
      </c>
      <c r="E213" s="55">
        <v>2</v>
      </c>
      <c r="F213" s="54">
        <v>600</v>
      </c>
      <c r="G213" s="91">
        <v>1592.846</v>
      </c>
      <c r="H213" s="91">
        <v>403.74444</v>
      </c>
      <c r="I213" s="91">
        <f t="shared" si="7"/>
        <v>25.34736189185897</v>
      </c>
    </row>
    <row r="214" spans="1:9" ht="76.5" customHeight="1" outlineLevel="3">
      <c r="A214" s="39" t="s">
        <v>229</v>
      </c>
      <c r="B214" s="53" t="s">
        <v>293</v>
      </c>
      <c r="C214" s="53" t="s">
        <v>319</v>
      </c>
      <c r="D214" s="53" t="s">
        <v>274</v>
      </c>
      <c r="E214" s="55">
        <v>2</v>
      </c>
      <c r="F214" s="54">
        <v>600</v>
      </c>
      <c r="G214" s="91">
        <v>73.02554</v>
      </c>
      <c r="H214" s="91">
        <v>0</v>
      </c>
      <c r="I214" s="91">
        <f t="shared" si="7"/>
        <v>0</v>
      </c>
    </row>
    <row r="215" spans="1:9" ht="18.75" customHeight="1" outlineLevel="3">
      <c r="A215" s="39" t="s">
        <v>36</v>
      </c>
      <c r="B215" s="53" t="s">
        <v>293</v>
      </c>
      <c r="C215" s="53" t="s">
        <v>319</v>
      </c>
      <c r="D215" s="53" t="s">
        <v>274</v>
      </c>
      <c r="E215" s="55">
        <v>2</v>
      </c>
      <c r="F215" s="54"/>
      <c r="G215" s="91">
        <f>SUM(G216:G230)</f>
        <v>311300.55296000006</v>
      </c>
      <c r="H215" s="91">
        <f>SUM(H216:H230)</f>
        <v>37528.76878</v>
      </c>
      <c r="I215" s="91">
        <f t="shared" si="7"/>
        <v>12.055477712184528</v>
      </c>
    </row>
    <row r="216" spans="1:9" ht="48" customHeight="1" outlineLevel="3">
      <c r="A216" s="39" t="s">
        <v>351</v>
      </c>
      <c r="B216" s="53" t="s">
        <v>293</v>
      </c>
      <c r="C216" s="53" t="s">
        <v>319</v>
      </c>
      <c r="D216" s="53" t="s">
        <v>274</v>
      </c>
      <c r="E216" s="55">
        <v>2</v>
      </c>
      <c r="F216" s="54">
        <v>100</v>
      </c>
      <c r="G216" s="91">
        <f>4722.3-293.4+1496.3+517.9-265.02</f>
        <v>6178.08</v>
      </c>
      <c r="H216" s="91">
        <v>1039.23682</v>
      </c>
      <c r="I216" s="91">
        <f t="shared" si="7"/>
        <v>16.821355825758168</v>
      </c>
    </row>
    <row r="217" spans="1:9" ht="36" hidden="1" outlineLevel="3">
      <c r="A217" s="39" t="s">
        <v>144</v>
      </c>
      <c r="B217" s="53" t="s">
        <v>293</v>
      </c>
      <c r="C217" s="53" t="s">
        <v>319</v>
      </c>
      <c r="D217" s="53" t="s">
        <v>274</v>
      </c>
      <c r="E217" s="55">
        <v>2</v>
      </c>
      <c r="F217" s="54">
        <v>100</v>
      </c>
      <c r="G217" s="91">
        <v>0</v>
      </c>
      <c r="H217" s="91">
        <v>0</v>
      </c>
      <c r="I217" s="91" t="e">
        <f t="shared" si="7"/>
        <v>#DIV/0!</v>
      </c>
    </row>
    <row r="218" spans="1:9" ht="36" outlineLevel="3">
      <c r="A218" s="39" t="s">
        <v>141</v>
      </c>
      <c r="B218" s="53" t="s">
        <v>293</v>
      </c>
      <c r="C218" s="53" t="s">
        <v>319</v>
      </c>
      <c r="D218" s="53" t="s">
        <v>274</v>
      </c>
      <c r="E218" s="55">
        <v>2</v>
      </c>
      <c r="F218" s="54">
        <v>100</v>
      </c>
      <c r="G218" s="91">
        <f>625</f>
        <v>625</v>
      </c>
      <c r="H218" s="91">
        <v>154.56859</v>
      </c>
      <c r="I218" s="91">
        <f t="shared" si="7"/>
        <v>24.7309744</v>
      </c>
    </row>
    <row r="219" spans="1:9" ht="27" customHeight="1" outlineLevel="3">
      <c r="A219" s="39" t="s">
        <v>352</v>
      </c>
      <c r="B219" s="53" t="s">
        <v>293</v>
      </c>
      <c r="C219" s="53" t="s">
        <v>319</v>
      </c>
      <c r="D219" s="53" t="s">
        <v>274</v>
      </c>
      <c r="E219" s="55">
        <v>2</v>
      </c>
      <c r="F219" s="54">
        <v>200</v>
      </c>
      <c r="G219" s="91">
        <f>40+80+80-130</f>
        <v>70</v>
      </c>
      <c r="H219" s="91">
        <v>4.10399</v>
      </c>
      <c r="I219" s="91">
        <f t="shared" si="7"/>
        <v>5.862842857142857</v>
      </c>
    </row>
    <row r="220" spans="1:9" ht="75.75" customHeight="1" outlineLevel="3">
      <c r="A220" s="39" t="s">
        <v>228</v>
      </c>
      <c r="B220" s="53" t="s">
        <v>293</v>
      </c>
      <c r="C220" s="53" t="s">
        <v>319</v>
      </c>
      <c r="D220" s="53" t="s">
        <v>274</v>
      </c>
      <c r="E220" s="55">
        <v>2</v>
      </c>
      <c r="F220" s="54">
        <v>200</v>
      </c>
      <c r="G220" s="91">
        <v>68.8</v>
      </c>
      <c r="H220" s="91">
        <v>15.18959</v>
      </c>
      <c r="I220" s="91">
        <f t="shared" si="7"/>
        <v>22.077892441860467</v>
      </c>
    </row>
    <row r="221" spans="1:9" ht="42.75" customHeight="1" outlineLevel="3">
      <c r="A221" s="39" t="s">
        <v>143</v>
      </c>
      <c r="B221" s="53" t="s">
        <v>293</v>
      </c>
      <c r="C221" s="53" t="s">
        <v>319</v>
      </c>
      <c r="D221" s="53" t="s">
        <v>274</v>
      </c>
      <c r="E221" s="55">
        <v>2</v>
      </c>
      <c r="F221" s="54">
        <v>200</v>
      </c>
      <c r="G221" s="91">
        <v>91.7</v>
      </c>
      <c r="H221" s="91">
        <v>16.04938</v>
      </c>
      <c r="I221" s="91">
        <f t="shared" si="7"/>
        <v>17.50205016357688</v>
      </c>
    </row>
    <row r="222" spans="1:9" ht="48" outlineLevel="3">
      <c r="A222" s="39" t="s">
        <v>158</v>
      </c>
      <c r="B222" s="53" t="s">
        <v>293</v>
      </c>
      <c r="C222" s="53" t="s">
        <v>319</v>
      </c>
      <c r="D222" s="53" t="s">
        <v>274</v>
      </c>
      <c r="E222" s="55">
        <v>2</v>
      </c>
      <c r="F222" s="54">
        <v>600</v>
      </c>
      <c r="G222" s="91">
        <f>6008.13117-G221</f>
        <v>5916.43117</v>
      </c>
      <c r="H222" s="91">
        <v>1295.73801</v>
      </c>
      <c r="I222" s="91">
        <f t="shared" si="7"/>
        <v>21.90066904809441</v>
      </c>
    </row>
    <row r="223" spans="1:9" ht="15.75" customHeight="1" outlineLevel="3">
      <c r="A223" s="39" t="s">
        <v>321</v>
      </c>
      <c r="B223" s="53" t="s">
        <v>293</v>
      </c>
      <c r="C223" s="53" t="s">
        <v>319</v>
      </c>
      <c r="D223" s="53" t="s">
        <v>274</v>
      </c>
      <c r="E223" s="55">
        <v>2</v>
      </c>
      <c r="F223" s="54">
        <v>600</v>
      </c>
      <c r="G223" s="91">
        <f>183664.1-G216-G219</f>
        <v>177416.02000000002</v>
      </c>
      <c r="H223" s="91">
        <v>30056.34075</v>
      </c>
      <c r="I223" s="91">
        <f t="shared" si="7"/>
        <v>16.94116503684391</v>
      </c>
    </row>
    <row r="224" spans="1:9" ht="40.5" customHeight="1" outlineLevel="3">
      <c r="A224" s="39" t="s">
        <v>198</v>
      </c>
      <c r="B224" s="53" t="s">
        <v>293</v>
      </c>
      <c r="C224" s="53" t="s">
        <v>319</v>
      </c>
      <c r="D224" s="53" t="s">
        <v>274</v>
      </c>
      <c r="E224" s="55">
        <v>2</v>
      </c>
      <c r="F224" s="54">
        <v>600</v>
      </c>
      <c r="G224" s="91">
        <v>98913.63637</v>
      </c>
      <c r="H224" s="91">
        <v>0</v>
      </c>
      <c r="I224" s="91">
        <f t="shared" si="7"/>
        <v>0</v>
      </c>
    </row>
    <row r="225" spans="1:9" ht="36" outlineLevel="3">
      <c r="A225" s="39" t="s">
        <v>141</v>
      </c>
      <c r="B225" s="53" t="s">
        <v>293</v>
      </c>
      <c r="C225" s="53" t="s">
        <v>319</v>
      </c>
      <c r="D225" s="53" t="s">
        <v>274</v>
      </c>
      <c r="E225" s="55">
        <v>2</v>
      </c>
      <c r="F225" s="54">
        <v>600</v>
      </c>
      <c r="G225" s="91">
        <v>14217.8</v>
      </c>
      <c r="H225" s="91">
        <v>3692.84141</v>
      </c>
      <c r="I225" s="91">
        <f t="shared" si="7"/>
        <v>25.97336725794427</v>
      </c>
    </row>
    <row r="226" spans="1:9" ht="67.5" customHeight="1" outlineLevel="3">
      <c r="A226" s="39" t="s">
        <v>228</v>
      </c>
      <c r="B226" s="53" t="s">
        <v>293</v>
      </c>
      <c r="C226" s="53" t="s">
        <v>319</v>
      </c>
      <c r="D226" s="53" t="s">
        <v>274</v>
      </c>
      <c r="E226" s="55">
        <v>2</v>
      </c>
      <c r="F226" s="54">
        <v>600</v>
      </c>
      <c r="G226" s="91">
        <f>4956.2-G220</f>
        <v>4887.4</v>
      </c>
      <c r="H226" s="91">
        <v>1092.79057</v>
      </c>
      <c r="I226" s="91">
        <f t="shared" si="7"/>
        <v>22.359343822891518</v>
      </c>
    </row>
    <row r="227" spans="1:9" ht="38.25" customHeight="1" outlineLevel="3">
      <c r="A227" s="39" t="s">
        <v>194</v>
      </c>
      <c r="B227" s="53" t="s">
        <v>293</v>
      </c>
      <c r="C227" s="53" t="s">
        <v>319</v>
      </c>
      <c r="D227" s="53" t="s">
        <v>274</v>
      </c>
      <c r="E227" s="55">
        <v>2</v>
      </c>
      <c r="F227" s="54">
        <v>600</v>
      </c>
      <c r="G227" s="91">
        <v>250</v>
      </c>
      <c r="H227" s="91">
        <v>0</v>
      </c>
      <c r="I227" s="91">
        <f t="shared" si="7"/>
        <v>0</v>
      </c>
    </row>
    <row r="228" spans="1:9" ht="30.75" customHeight="1" outlineLevel="3">
      <c r="A228" s="39" t="s">
        <v>231</v>
      </c>
      <c r="B228" s="53" t="s">
        <v>293</v>
      </c>
      <c r="C228" s="53" t="s">
        <v>319</v>
      </c>
      <c r="D228" s="53" t="s">
        <v>274</v>
      </c>
      <c r="E228" s="55">
        <v>2</v>
      </c>
      <c r="F228" s="54">
        <v>600</v>
      </c>
      <c r="G228" s="91">
        <v>1097</v>
      </c>
      <c r="H228" s="91">
        <v>155.8</v>
      </c>
      <c r="I228" s="91">
        <f t="shared" si="7"/>
        <v>14.202370100273473</v>
      </c>
    </row>
    <row r="229" spans="1:9" ht="24" customHeight="1" outlineLevel="3">
      <c r="A229" s="39" t="s">
        <v>35</v>
      </c>
      <c r="B229" s="53" t="s">
        <v>293</v>
      </c>
      <c r="C229" s="53" t="s">
        <v>319</v>
      </c>
      <c r="D229" s="53" t="s">
        <v>274</v>
      </c>
      <c r="E229" s="55">
        <v>2</v>
      </c>
      <c r="F229" s="54">
        <v>600</v>
      </c>
      <c r="G229" s="91">
        <f>240.3-G240-G174</f>
        <v>181.20000000000002</v>
      </c>
      <c r="H229" s="91">
        <v>6.10967</v>
      </c>
      <c r="I229" s="91">
        <f t="shared" si="7"/>
        <v>3.371782560706402</v>
      </c>
    </row>
    <row r="230" spans="1:9" ht="74.25" customHeight="1" outlineLevel="3">
      <c r="A230" s="39" t="s">
        <v>230</v>
      </c>
      <c r="B230" s="53" t="s">
        <v>293</v>
      </c>
      <c r="C230" s="53" t="s">
        <v>319</v>
      </c>
      <c r="D230" s="53" t="s">
        <v>274</v>
      </c>
      <c r="E230" s="55">
        <v>2</v>
      </c>
      <c r="F230" s="54">
        <v>600</v>
      </c>
      <c r="G230" s="91">
        <f>1387.48542</f>
        <v>1387.48542</v>
      </c>
      <c r="H230" s="91">
        <v>0</v>
      </c>
      <c r="I230" s="91">
        <f t="shared" si="7"/>
        <v>0</v>
      </c>
    </row>
    <row r="231" spans="1:9" ht="15.75" outlineLevel="1">
      <c r="A231" s="39" t="s">
        <v>81</v>
      </c>
      <c r="B231" s="53" t="s">
        <v>293</v>
      </c>
      <c r="C231" s="53" t="s">
        <v>82</v>
      </c>
      <c r="D231" s="53"/>
      <c r="E231" s="55"/>
      <c r="F231" s="54"/>
      <c r="G231" s="91">
        <f>SUM(G235+G232)</f>
        <v>12061.971160000001</v>
      </c>
      <c r="H231" s="91">
        <f>SUM(H235+H232)</f>
        <v>2590.8403200000002</v>
      </c>
      <c r="I231" s="91">
        <f t="shared" si="7"/>
        <v>21.47941066707044</v>
      </c>
    </row>
    <row r="232" spans="1:9" ht="36" hidden="1" outlineLevel="1">
      <c r="A232" s="39" t="s">
        <v>115</v>
      </c>
      <c r="B232" s="53" t="s">
        <v>293</v>
      </c>
      <c r="C232" s="53" t="s">
        <v>82</v>
      </c>
      <c r="D232" s="53" t="s">
        <v>260</v>
      </c>
      <c r="E232" s="55">
        <v>0</v>
      </c>
      <c r="F232" s="54"/>
      <c r="G232" s="91">
        <f>SUM(G233)</f>
        <v>0</v>
      </c>
      <c r="H232" s="91">
        <f>SUM(H233)</f>
        <v>0</v>
      </c>
      <c r="I232" s="91" t="e">
        <f t="shared" si="7"/>
        <v>#DIV/0!</v>
      </c>
    </row>
    <row r="233" spans="1:9" ht="24" hidden="1" outlineLevel="1">
      <c r="A233" s="39" t="s">
        <v>76</v>
      </c>
      <c r="B233" s="53" t="s">
        <v>293</v>
      </c>
      <c r="C233" s="53" t="s">
        <v>82</v>
      </c>
      <c r="D233" s="53" t="s">
        <v>260</v>
      </c>
      <c r="E233" s="55">
        <v>3</v>
      </c>
      <c r="F233" s="54"/>
      <c r="G233" s="91">
        <f>SUM(G234:G234)</f>
        <v>0</v>
      </c>
      <c r="H233" s="91">
        <f>SUM(H234:H234)</f>
        <v>0</v>
      </c>
      <c r="I233" s="91" t="e">
        <f t="shared" si="7"/>
        <v>#DIV/0!</v>
      </c>
    </row>
    <row r="234" spans="1:9" ht="24" hidden="1" outlineLevel="1">
      <c r="A234" s="39" t="s">
        <v>31</v>
      </c>
      <c r="B234" s="53" t="s">
        <v>293</v>
      </c>
      <c r="C234" s="53" t="s">
        <v>82</v>
      </c>
      <c r="D234" s="53" t="s">
        <v>260</v>
      </c>
      <c r="E234" s="55">
        <v>3</v>
      </c>
      <c r="F234" s="54">
        <v>600</v>
      </c>
      <c r="G234" s="91">
        <v>0</v>
      </c>
      <c r="H234" s="91">
        <v>0</v>
      </c>
      <c r="I234" s="91" t="e">
        <f t="shared" si="7"/>
        <v>#DIV/0!</v>
      </c>
    </row>
    <row r="235" spans="1:9" ht="28.5" customHeight="1" outlineLevel="1">
      <c r="A235" s="39" t="s">
        <v>190</v>
      </c>
      <c r="B235" s="53" t="s">
        <v>293</v>
      </c>
      <c r="C235" s="53" t="s">
        <v>82</v>
      </c>
      <c r="D235" s="53" t="s">
        <v>274</v>
      </c>
      <c r="E235" s="55">
        <v>0</v>
      </c>
      <c r="F235" s="54"/>
      <c r="G235" s="91">
        <f>SUM(G236)</f>
        <v>12061.971160000001</v>
      </c>
      <c r="H235" s="91">
        <f>SUM(H236)</f>
        <v>2590.8403200000002</v>
      </c>
      <c r="I235" s="91">
        <f t="shared" si="7"/>
        <v>21.47941066707044</v>
      </c>
    </row>
    <row r="236" spans="1:9" ht="20.25" customHeight="1" outlineLevel="1">
      <c r="A236" s="39" t="s">
        <v>148</v>
      </c>
      <c r="B236" s="53" t="s">
        <v>293</v>
      </c>
      <c r="C236" s="53" t="s">
        <v>82</v>
      </c>
      <c r="D236" s="53" t="s">
        <v>274</v>
      </c>
      <c r="E236" s="55">
        <v>3</v>
      </c>
      <c r="F236" s="54"/>
      <c r="G236" s="91">
        <f>SUM(G237:G240)</f>
        <v>12061.971160000001</v>
      </c>
      <c r="H236" s="91">
        <f>SUM(H237:H240)</f>
        <v>2590.8403200000002</v>
      </c>
      <c r="I236" s="91">
        <f t="shared" si="7"/>
        <v>21.47941066707044</v>
      </c>
    </row>
    <row r="237" spans="1:9" ht="28.5" customHeight="1" outlineLevel="1">
      <c r="A237" s="39" t="s">
        <v>157</v>
      </c>
      <c r="B237" s="53" t="s">
        <v>293</v>
      </c>
      <c r="C237" s="53" t="s">
        <v>82</v>
      </c>
      <c r="D237" s="53" t="s">
        <v>274</v>
      </c>
      <c r="E237" s="55">
        <v>3</v>
      </c>
      <c r="F237" s="54">
        <v>600</v>
      </c>
      <c r="G237" s="91">
        <f>5600+100.54292</f>
        <v>5700.54292</v>
      </c>
      <c r="H237" s="91">
        <v>1129.21827</v>
      </c>
      <c r="I237" s="91">
        <f t="shared" si="7"/>
        <v>19.80896005603621</v>
      </c>
    </row>
    <row r="238" spans="1:9" ht="42" customHeight="1" outlineLevel="1">
      <c r="A238" s="39" t="s">
        <v>233</v>
      </c>
      <c r="B238" s="53" t="s">
        <v>293</v>
      </c>
      <c r="C238" s="53" t="s">
        <v>82</v>
      </c>
      <c r="D238" s="53" t="s">
        <v>274</v>
      </c>
      <c r="E238" s="55">
        <v>3</v>
      </c>
      <c r="F238" s="54">
        <v>600</v>
      </c>
      <c r="G238" s="91">
        <f>800+95+16</f>
        <v>911</v>
      </c>
      <c r="H238" s="91">
        <v>111</v>
      </c>
      <c r="I238" s="91">
        <f t="shared" si="7"/>
        <v>12.184412733260155</v>
      </c>
    </row>
    <row r="239" spans="1:9" ht="24" customHeight="1" outlineLevel="1">
      <c r="A239" s="39" t="s">
        <v>156</v>
      </c>
      <c r="B239" s="53" t="s">
        <v>293</v>
      </c>
      <c r="C239" s="53" t="s">
        <v>82</v>
      </c>
      <c r="D239" s="53" t="s">
        <v>274</v>
      </c>
      <c r="E239" s="55">
        <v>3</v>
      </c>
      <c r="F239" s="54">
        <v>600</v>
      </c>
      <c r="G239" s="91">
        <f>5300+126.22824</f>
        <v>5426.22824</v>
      </c>
      <c r="H239" s="91">
        <v>1342.20363</v>
      </c>
      <c r="I239" s="91">
        <f t="shared" si="7"/>
        <v>24.735480533343726</v>
      </c>
    </row>
    <row r="240" spans="1:9" ht="30" customHeight="1" outlineLevel="1">
      <c r="A240" s="39" t="s">
        <v>35</v>
      </c>
      <c r="B240" s="53" t="s">
        <v>293</v>
      </c>
      <c r="C240" s="53" t="s">
        <v>82</v>
      </c>
      <c r="D240" s="53" t="s">
        <v>274</v>
      </c>
      <c r="E240" s="55">
        <v>3</v>
      </c>
      <c r="F240" s="54">
        <v>600</v>
      </c>
      <c r="G240" s="91">
        <v>24.2</v>
      </c>
      <c r="H240" s="91">
        <v>8.41842</v>
      </c>
      <c r="I240" s="91">
        <f t="shared" si="7"/>
        <v>34.78685950413223</v>
      </c>
    </row>
    <row r="241" spans="1:9" ht="15" customHeight="1" outlineLevel="1">
      <c r="A241" s="40" t="s">
        <v>152</v>
      </c>
      <c r="B241" s="53" t="s">
        <v>293</v>
      </c>
      <c r="C241" s="53" t="s">
        <v>324</v>
      </c>
      <c r="D241" s="53" t="s">
        <v>254</v>
      </c>
      <c r="E241" s="55" t="s">
        <v>254</v>
      </c>
      <c r="F241" s="54"/>
      <c r="G241" s="91">
        <f>SUM(G242+G252)</f>
        <v>4775.6</v>
      </c>
      <c r="H241" s="91">
        <f>SUM(H242+H252)</f>
        <v>930.09032</v>
      </c>
      <c r="I241" s="91">
        <f t="shared" si="7"/>
        <v>19.475884077393417</v>
      </c>
    </row>
    <row r="242" spans="1:9" ht="50.25" customHeight="1" outlineLevel="1">
      <c r="A242" s="40" t="s">
        <v>183</v>
      </c>
      <c r="B242" s="53" t="s">
        <v>293</v>
      </c>
      <c r="C242" s="53" t="s">
        <v>324</v>
      </c>
      <c r="D242" s="53" t="s">
        <v>278</v>
      </c>
      <c r="E242" s="55">
        <v>0</v>
      </c>
      <c r="F242" s="54"/>
      <c r="G242" s="91">
        <f>SUM(G243+G245+G248+G250)</f>
        <v>60</v>
      </c>
      <c r="H242" s="91">
        <f>SUM(H243+H245+H248+H250)</f>
        <v>12.432</v>
      </c>
      <c r="I242" s="91">
        <f t="shared" si="7"/>
        <v>20.72</v>
      </c>
    </row>
    <row r="243" spans="1:9" ht="20.25" customHeight="1" outlineLevel="3">
      <c r="A243" s="39" t="s">
        <v>37</v>
      </c>
      <c r="B243" s="53" t="s">
        <v>293</v>
      </c>
      <c r="C243" s="53" t="s">
        <v>324</v>
      </c>
      <c r="D243" s="53" t="s">
        <v>278</v>
      </c>
      <c r="E243" s="55">
        <v>1</v>
      </c>
      <c r="F243" s="54"/>
      <c r="G243" s="91">
        <f>SUM(G244)</f>
        <v>20</v>
      </c>
      <c r="H243" s="91">
        <f>SUM(H244)</f>
        <v>0</v>
      </c>
      <c r="I243" s="91">
        <f t="shared" si="7"/>
        <v>0</v>
      </c>
    </row>
    <row r="244" spans="1:9" ht="21.75" customHeight="1" outlineLevel="3">
      <c r="A244" s="39" t="s">
        <v>352</v>
      </c>
      <c r="B244" s="53" t="s">
        <v>293</v>
      </c>
      <c r="C244" s="53" t="s">
        <v>324</v>
      </c>
      <c r="D244" s="53" t="s">
        <v>278</v>
      </c>
      <c r="E244" s="55">
        <v>1</v>
      </c>
      <c r="F244" s="54">
        <v>200</v>
      </c>
      <c r="G244" s="91">
        <f>50-20-10</f>
        <v>20</v>
      </c>
      <c r="H244" s="91">
        <v>0</v>
      </c>
      <c r="I244" s="91">
        <f t="shared" si="7"/>
        <v>0</v>
      </c>
    </row>
    <row r="245" spans="1:9" s="15" customFormat="1" ht="29.25" customHeight="1" outlineLevel="2">
      <c r="A245" s="39" t="s">
        <v>38</v>
      </c>
      <c r="B245" s="53" t="s">
        <v>293</v>
      </c>
      <c r="C245" s="53" t="s">
        <v>324</v>
      </c>
      <c r="D245" s="53" t="s">
        <v>278</v>
      </c>
      <c r="E245" s="55">
        <v>2</v>
      </c>
      <c r="F245" s="54"/>
      <c r="G245" s="91">
        <f>SUM(G246:G247)</f>
        <v>30</v>
      </c>
      <c r="H245" s="91">
        <f>SUM(H246:H247)</f>
        <v>12.432</v>
      </c>
      <c r="I245" s="91">
        <f t="shared" si="7"/>
        <v>41.44</v>
      </c>
    </row>
    <row r="246" spans="1:9" s="15" customFormat="1" ht="27" customHeight="1" outlineLevel="2">
      <c r="A246" s="39" t="s">
        <v>352</v>
      </c>
      <c r="B246" s="53" t="s">
        <v>293</v>
      </c>
      <c r="C246" s="53" t="s">
        <v>324</v>
      </c>
      <c r="D246" s="53" t="s">
        <v>278</v>
      </c>
      <c r="E246" s="55">
        <v>2</v>
      </c>
      <c r="F246" s="54">
        <v>200</v>
      </c>
      <c r="G246" s="91">
        <f>100-60-10</f>
        <v>30</v>
      </c>
      <c r="H246" s="91">
        <v>12.432</v>
      </c>
      <c r="I246" s="91">
        <f t="shared" si="7"/>
        <v>41.44</v>
      </c>
    </row>
    <row r="247" spans="1:9" s="15" customFormat="1" ht="66.75" customHeight="1" hidden="1" outlineLevel="2">
      <c r="A247" s="39" t="s">
        <v>178</v>
      </c>
      <c r="B247" s="53" t="s">
        <v>293</v>
      </c>
      <c r="C247" s="53" t="s">
        <v>324</v>
      </c>
      <c r="D247" s="53" t="s">
        <v>278</v>
      </c>
      <c r="E247" s="55">
        <v>2</v>
      </c>
      <c r="F247" s="54">
        <v>200</v>
      </c>
      <c r="G247" s="91">
        <f>10.5-10.5</f>
        <v>0</v>
      </c>
      <c r="H247" s="91">
        <f>10.5-10.5</f>
        <v>0</v>
      </c>
      <c r="I247" s="91" t="e">
        <f t="shared" si="7"/>
        <v>#DIV/0!</v>
      </c>
    </row>
    <row r="248" spans="1:9" s="15" customFormat="1" ht="24.75" customHeight="1" outlineLevel="2">
      <c r="A248" s="39" t="s">
        <v>102</v>
      </c>
      <c r="B248" s="53" t="s">
        <v>293</v>
      </c>
      <c r="C248" s="53" t="s">
        <v>324</v>
      </c>
      <c r="D248" s="53" t="s">
        <v>278</v>
      </c>
      <c r="E248" s="55">
        <v>3</v>
      </c>
      <c r="F248" s="54"/>
      <c r="G248" s="91">
        <f>SUM(G249)</f>
        <v>10</v>
      </c>
      <c r="H248" s="91">
        <f>SUM(H249)</f>
        <v>0</v>
      </c>
      <c r="I248" s="91">
        <f t="shared" si="7"/>
        <v>0</v>
      </c>
    </row>
    <row r="249" spans="1:9" s="15" customFormat="1" ht="24" outlineLevel="2">
      <c r="A249" s="39" t="s">
        <v>352</v>
      </c>
      <c r="B249" s="53" t="s">
        <v>293</v>
      </c>
      <c r="C249" s="53" t="s">
        <v>324</v>
      </c>
      <c r="D249" s="53" t="s">
        <v>278</v>
      </c>
      <c r="E249" s="55">
        <v>3</v>
      </c>
      <c r="F249" s="54">
        <v>200</v>
      </c>
      <c r="G249" s="91">
        <v>10</v>
      </c>
      <c r="H249" s="91">
        <v>0</v>
      </c>
      <c r="I249" s="91">
        <f t="shared" si="7"/>
        <v>0</v>
      </c>
    </row>
    <row r="250" spans="1:9" s="15" customFormat="1" ht="15.75" hidden="1" outlineLevel="2">
      <c r="A250" s="39"/>
      <c r="B250" s="53" t="s">
        <v>293</v>
      </c>
      <c r="C250" s="53" t="s">
        <v>324</v>
      </c>
      <c r="D250" s="53" t="s">
        <v>278</v>
      </c>
      <c r="E250" s="55">
        <v>3</v>
      </c>
      <c r="F250" s="54"/>
      <c r="G250" s="91">
        <f>SUM(G251)</f>
        <v>0</v>
      </c>
      <c r="H250" s="91">
        <f>SUM(H251)</f>
        <v>0</v>
      </c>
      <c r="I250" s="91" t="e">
        <f t="shared" si="7"/>
        <v>#DIV/0!</v>
      </c>
    </row>
    <row r="251" spans="1:9" s="15" customFormat="1" ht="15.75" hidden="1" outlineLevel="2">
      <c r="A251" s="39"/>
      <c r="B251" s="53" t="s">
        <v>293</v>
      </c>
      <c r="C251" s="53" t="s">
        <v>324</v>
      </c>
      <c r="D251" s="53" t="s">
        <v>278</v>
      </c>
      <c r="E251" s="55">
        <v>3</v>
      </c>
      <c r="F251" s="54">
        <v>200</v>
      </c>
      <c r="G251" s="91">
        <v>0</v>
      </c>
      <c r="H251" s="91">
        <v>0</v>
      </c>
      <c r="I251" s="91" t="e">
        <f t="shared" si="7"/>
        <v>#DIV/0!</v>
      </c>
    </row>
    <row r="252" spans="1:9" ht="32.25" customHeight="1" outlineLevel="3">
      <c r="A252" s="40" t="s">
        <v>214</v>
      </c>
      <c r="B252" s="53" t="s">
        <v>293</v>
      </c>
      <c r="C252" s="53" t="s">
        <v>324</v>
      </c>
      <c r="D252" s="53" t="s">
        <v>275</v>
      </c>
      <c r="E252" s="55">
        <v>0</v>
      </c>
      <c r="F252" s="54"/>
      <c r="G252" s="91">
        <f>SUM(G253)</f>
        <v>4715.6</v>
      </c>
      <c r="H252" s="91">
        <f>SUM(H253)</f>
        <v>917.65832</v>
      </c>
      <c r="I252" s="91">
        <f t="shared" si="7"/>
        <v>19.460054287895495</v>
      </c>
    </row>
    <row r="253" spans="1:9" ht="25.5" customHeight="1" outlineLevel="2">
      <c r="A253" s="39" t="s">
        <v>31</v>
      </c>
      <c r="B253" s="53" t="s">
        <v>293</v>
      </c>
      <c r="C253" s="53" t="s">
        <v>324</v>
      </c>
      <c r="D253" s="53" t="s">
        <v>275</v>
      </c>
      <c r="E253" s="55">
        <v>0</v>
      </c>
      <c r="F253" s="54">
        <v>600</v>
      </c>
      <c r="G253" s="91">
        <f>4600+80+35.6</f>
        <v>4715.6</v>
      </c>
      <c r="H253" s="91">
        <v>917.65832</v>
      </c>
      <c r="I253" s="91">
        <f t="shared" si="7"/>
        <v>19.460054287895495</v>
      </c>
    </row>
    <row r="254" spans="1:9" ht="14.25" customHeight="1" outlineLevel="2">
      <c r="A254" s="39" t="s">
        <v>325</v>
      </c>
      <c r="B254" s="53" t="s">
        <v>293</v>
      </c>
      <c r="C254" s="53" t="s">
        <v>326</v>
      </c>
      <c r="D254" s="53"/>
      <c r="E254" s="55"/>
      <c r="F254" s="54"/>
      <c r="G254" s="91">
        <f>SUM(G259+G265+G255)</f>
        <v>7609.1088199999995</v>
      </c>
      <c r="H254" s="91">
        <f>SUM(H259+H265+H255)</f>
        <v>1327.32249</v>
      </c>
      <c r="I254" s="91">
        <f t="shared" si="7"/>
        <v>17.443862630946054</v>
      </c>
    </row>
    <row r="255" spans="1:9" ht="36" outlineLevel="2">
      <c r="A255" s="39" t="s">
        <v>190</v>
      </c>
      <c r="B255" s="53" t="s">
        <v>293</v>
      </c>
      <c r="C255" s="53" t="s">
        <v>326</v>
      </c>
      <c r="D255" s="53" t="s">
        <v>274</v>
      </c>
      <c r="E255" s="55">
        <v>0</v>
      </c>
      <c r="F255" s="56"/>
      <c r="G255" s="91">
        <f>SUM(G256)</f>
        <v>3674.10882</v>
      </c>
      <c r="H255" s="91">
        <f>SUM(H256)</f>
        <v>961.6026</v>
      </c>
      <c r="I255" s="91">
        <f t="shared" si="7"/>
        <v>26.17240389738919</v>
      </c>
    </row>
    <row r="256" spans="1:9" ht="15.75" outlineLevel="2">
      <c r="A256" s="39" t="s">
        <v>147</v>
      </c>
      <c r="B256" s="53" t="s">
        <v>293</v>
      </c>
      <c r="C256" s="53" t="s">
        <v>326</v>
      </c>
      <c r="D256" s="53" t="s">
        <v>274</v>
      </c>
      <c r="E256" s="55">
        <v>2</v>
      </c>
      <c r="F256" s="56"/>
      <c r="G256" s="91">
        <f>SUM(G257:G258)</f>
        <v>3674.10882</v>
      </c>
      <c r="H256" s="91">
        <f>SUM(H257:H258)</f>
        <v>961.6026</v>
      </c>
      <c r="I256" s="91">
        <f t="shared" si="7"/>
        <v>26.17240389738919</v>
      </c>
    </row>
    <row r="257" spans="1:9" ht="48" outlineLevel="2">
      <c r="A257" s="39" t="s">
        <v>351</v>
      </c>
      <c r="B257" s="53" t="s">
        <v>293</v>
      </c>
      <c r="C257" s="53" t="s">
        <v>326</v>
      </c>
      <c r="D257" s="53" t="s">
        <v>274</v>
      </c>
      <c r="E257" s="55">
        <v>2</v>
      </c>
      <c r="F257" s="56">
        <v>100</v>
      </c>
      <c r="G257" s="91">
        <v>250</v>
      </c>
      <c r="H257" s="91">
        <v>62.09541</v>
      </c>
      <c r="I257" s="91">
        <f t="shared" si="7"/>
        <v>24.838164000000003</v>
      </c>
    </row>
    <row r="258" spans="1:9" ht="60" outlineLevel="2">
      <c r="A258" s="39" t="s">
        <v>197</v>
      </c>
      <c r="B258" s="53" t="s">
        <v>293</v>
      </c>
      <c r="C258" s="53" t="s">
        <v>326</v>
      </c>
      <c r="D258" s="53" t="s">
        <v>274</v>
      </c>
      <c r="E258" s="55">
        <v>2</v>
      </c>
      <c r="F258" s="56">
        <v>600</v>
      </c>
      <c r="G258" s="91">
        <f>3674.10882-250</f>
        <v>3424.10882</v>
      </c>
      <c r="H258" s="91">
        <v>899.50719</v>
      </c>
      <c r="I258" s="91">
        <f t="shared" si="7"/>
        <v>26.26981901819347</v>
      </c>
    </row>
    <row r="259" spans="1:9" ht="15.75" outlineLevel="3">
      <c r="A259" s="40" t="s">
        <v>39</v>
      </c>
      <c r="B259" s="53" t="s">
        <v>293</v>
      </c>
      <c r="C259" s="53" t="s">
        <v>326</v>
      </c>
      <c r="D259" s="53" t="s">
        <v>270</v>
      </c>
      <c r="E259" s="55">
        <v>0</v>
      </c>
      <c r="F259" s="54"/>
      <c r="G259" s="91">
        <f>SUM(G260)</f>
        <v>2235</v>
      </c>
      <c r="H259" s="91">
        <f>SUM(H260)</f>
        <v>0</v>
      </c>
      <c r="I259" s="91">
        <f t="shared" si="7"/>
        <v>0</v>
      </c>
    </row>
    <row r="260" spans="1:9" ht="24" outlineLevel="3">
      <c r="A260" s="39" t="s">
        <v>30</v>
      </c>
      <c r="B260" s="53" t="s">
        <v>293</v>
      </c>
      <c r="C260" s="53" t="s">
        <v>326</v>
      </c>
      <c r="D260" s="53" t="s">
        <v>270</v>
      </c>
      <c r="E260" s="55">
        <v>0</v>
      </c>
      <c r="F260" s="54"/>
      <c r="G260" s="91">
        <f>SUM(G261:G262)</f>
        <v>2235</v>
      </c>
      <c r="H260" s="91">
        <f>SUM(H261:H262)</f>
        <v>0</v>
      </c>
      <c r="I260" s="91">
        <f t="shared" si="7"/>
        <v>0</v>
      </c>
    </row>
    <row r="261" spans="1:9" ht="36" outlineLevel="1">
      <c r="A261" s="40" t="s">
        <v>40</v>
      </c>
      <c r="B261" s="53" t="s">
        <v>293</v>
      </c>
      <c r="C261" s="53" t="s">
        <v>326</v>
      </c>
      <c r="D261" s="53" t="s">
        <v>270</v>
      </c>
      <c r="E261" s="55">
        <v>0</v>
      </c>
      <c r="F261" s="54">
        <v>600</v>
      </c>
      <c r="G261" s="91">
        <f>2011.5</f>
        <v>2011.5</v>
      </c>
      <c r="H261" s="91">
        <v>0</v>
      </c>
      <c r="I261" s="91">
        <f t="shared" si="7"/>
        <v>0</v>
      </c>
    </row>
    <row r="262" spans="1:9" ht="24" customHeight="1" outlineLevel="1">
      <c r="A262" s="39" t="s">
        <v>31</v>
      </c>
      <c r="B262" s="53" t="s">
        <v>293</v>
      </c>
      <c r="C262" s="53" t="s">
        <v>326</v>
      </c>
      <c r="D262" s="53" t="s">
        <v>270</v>
      </c>
      <c r="E262" s="55">
        <v>0</v>
      </c>
      <c r="F262" s="54">
        <v>600</v>
      </c>
      <c r="G262" s="91">
        <v>223.5</v>
      </c>
      <c r="H262" s="91">
        <v>0</v>
      </c>
      <c r="I262" s="91">
        <f t="shared" si="7"/>
        <v>0</v>
      </c>
    </row>
    <row r="263" spans="1:9" ht="60" customHeight="1" hidden="1" outlineLevel="1">
      <c r="A263" s="39" t="s">
        <v>113</v>
      </c>
      <c r="B263" s="53" t="s">
        <v>293</v>
      </c>
      <c r="C263" s="53" t="s">
        <v>326</v>
      </c>
      <c r="D263" s="53" t="s">
        <v>78</v>
      </c>
      <c r="E263" s="55">
        <v>0</v>
      </c>
      <c r="F263" s="56"/>
      <c r="G263" s="91">
        <f>SUM(G264)</f>
        <v>0</v>
      </c>
      <c r="H263" s="91">
        <f>SUM(H264)</f>
        <v>0</v>
      </c>
      <c r="I263" s="91" t="e">
        <f t="shared" si="7"/>
        <v>#DIV/0!</v>
      </c>
    </row>
    <row r="264" spans="1:9" ht="15.75" hidden="1" outlineLevel="1">
      <c r="A264" s="39" t="s">
        <v>32</v>
      </c>
      <c r="B264" s="53" t="s">
        <v>293</v>
      </c>
      <c r="C264" s="53" t="s">
        <v>326</v>
      </c>
      <c r="D264" s="53" t="s">
        <v>78</v>
      </c>
      <c r="E264" s="55">
        <v>0</v>
      </c>
      <c r="F264" s="56">
        <v>300</v>
      </c>
      <c r="G264" s="91">
        <v>0</v>
      </c>
      <c r="H264" s="91">
        <v>0</v>
      </c>
      <c r="I264" s="91" t="e">
        <f t="shared" si="7"/>
        <v>#DIV/0!</v>
      </c>
    </row>
    <row r="265" spans="1:9" ht="39.75" customHeight="1" outlineLevel="1">
      <c r="A265" s="40" t="s">
        <v>207</v>
      </c>
      <c r="B265" s="53" t="s">
        <v>293</v>
      </c>
      <c r="C265" s="53" t="s">
        <v>326</v>
      </c>
      <c r="D265" s="53" t="s">
        <v>276</v>
      </c>
      <c r="E265" s="55">
        <v>0</v>
      </c>
      <c r="F265" s="54"/>
      <c r="G265" s="91">
        <f>SUM(G266:G268)</f>
        <v>1700</v>
      </c>
      <c r="H265" s="91">
        <f>SUM(H266:H268)</f>
        <v>365.71989</v>
      </c>
      <c r="I265" s="91">
        <f t="shared" si="7"/>
        <v>21.51293470588235</v>
      </c>
    </row>
    <row r="266" spans="1:9" ht="46.5" customHeight="1" outlineLevel="1">
      <c r="A266" s="39" t="s">
        <v>351</v>
      </c>
      <c r="B266" s="53" t="s">
        <v>293</v>
      </c>
      <c r="C266" s="53" t="s">
        <v>326</v>
      </c>
      <c r="D266" s="53" t="s">
        <v>276</v>
      </c>
      <c r="E266" s="55">
        <v>0</v>
      </c>
      <c r="F266" s="54">
        <v>100</v>
      </c>
      <c r="G266" s="91">
        <v>1700</v>
      </c>
      <c r="H266" s="91">
        <v>365.71989</v>
      </c>
      <c r="I266" s="91">
        <f t="shared" si="7"/>
        <v>21.51293470588235</v>
      </c>
    </row>
    <row r="267" spans="1:9" ht="24" hidden="1" outlineLevel="1">
      <c r="A267" s="39" t="s">
        <v>352</v>
      </c>
      <c r="B267" s="53" t="s">
        <v>293</v>
      </c>
      <c r="C267" s="53" t="s">
        <v>326</v>
      </c>
      <c r="D267" s="53" t="s">
        <v>276</v>
      </c>
      <c r="E267" s="55">
        <v>0</v>
      </c>
      <c r="F267" s="54">
        <v>200</v>
      </c>
      <c r="G267" s="91">
        <v>0</v>
      </c>
      <c r="H267" s="91">
        <v>0</v>
      </c>
      <c r="I267" s="91" t="e">
        <f aca="true" t="shared" si="8" ref="I267:I330">SUM(H267/G267)*100</f>
        <v>#DIV/0!</v>
      </c>
    </row>
    <row r="268" spans="1:9" ht="15.75" hidden="1" outlineLevel="1">
      <c r="A268" s="39" t="s">
        <v>19</v>
      </c>
      <c r="B268" s="53" t="s">
        <v>293</v>
      </c>
      <c r="C268" s="53" t="s">
        <v>326</v>
      </c>
      <c r="D268" s="53" t="s">
        <v>276</v>
      </c>
      <c r="E268" s="55">
        <v>0</v>
      </c>
      <c r="F268" s="54">
        <v>800</v>
      </c>
      <c r="G268" s="91">
        <v>0</v>
      </c>
      <c r="H268" s="91">
        <f>0.2-0.2</f>
        <v>0</v>
      </c>
      <c r="I268" s="91" t="e">
        <f t="shared" si="8"/>
        <v>#DIV/0!</v>
      </c>
    </row>
    <row r="269" spans="1:9" ht="15.75" outlineLevel="1">
      <c r="A269" s="39" t="s">
        <v>327</v>
      </c>
      <c r="B269" s="53" t="s">
        <v>293</v>
      </c>
      <c r="C269" s="53" t="s">
        <v>366</v>
      </c>
      <c r="D269" s="53"/>
      <c r="E269" s="55"/>
      <c r="F269" s="54"/>
      <c r="G269" s="91">
        <f>SUM(G270+G287+G289)</f>
        <v>13223.271120000001</v>
      </c>
      <c r="H269" s="91">
        <f>SUM(H270+H287+H289)</f>
        <v>3419.8941100000006</v>
      </c>
      <c r="I269" s="91">
        <f t="shared" si="8"/>
        <v>25.86269372354819</v>
      </c>
    </row>
    <row r="270" spans="1:9" ht="13.5" customHeight="1" outlineLevel="1">
      <c r="A270" s="39" t="s">
        <v>367</v>
      </c>
      <c r="B270" s="53" t="s">
        <v>293</v>
      </c>
      <c r="C270" s="53" t="s">
        <v>333</v>
      </c>
      <c r="D270" s="53"/>
      <c r="E270" s="55"/>
      <c r="F270" s="54"/>
      <c r="G270" s="91">
        <f>SUM(G271+G274+G276+G281+G283+G285+G278)</f>
        <v>12681.99653</v>
      </c>
      <c r="H270" s="91">
        <f>SUM(H271+H274+H276+H281+H283+H285+H278)</f>
        <v>3276.2607100000005</v>
      </c>
      <c r="I270" s="91">
        <f t="shared" si="8"/>
        <v>25.833950531762213</v>
      </c>
    </row>
    <row r="271" spans="1:9" ht="24" hidden="1" outlineLevel="1">
      <c r="A271" s="39" t="s">
        <v>129</v>
      </c>
      <c r="B271" s="53" t="s">
        <v>293</v>
      </c>
      <c r="C271" s="53" t="s">
        <v>333</v>
      </c>
      <c r="D271" s="53" t="s">
        <v>266</v>
      </c>
      <c r="E271" s="55">
        <v>0</v>
      </c>
      <c r="F271" s="54"/>
      <c r="G271" s="91">
        <f>SUM(G272:G273)</f>
        <v>0</v>
      </c>
      <c r="H271" s="91">
        <f>SUM(H272:H273)</f>
        <v>0</v>
      </c>
      <c r="I271" s="91" t="e">
        <f t="shared" si="8"/>
        <v>#DIV/0!</v>
      </c>
    </row>
    <row r="272" spans="1:9" ht="36" hidden="1" outlineLevel="2">
      <c r="A272" s="39" t="s">
        <v>180</v>
      </c>
      <c r="B272" s="53" t="s">
        <v>293</v>
      </c>
      <c r="C272" s="53" t="s">
        <v>333</v>
      </c>
      <c r="D272" s="53" t="s">
        <v>266</v>
      </c>
      <c r="E272" s="55">
        <v>0</v>
      </c>
      <c r="F272" s="54">
        <v>200</v>
      </c>
      <c r="G272" s="91">
        <v>0</v>
      </c>
      <c r="H272" s="91">
        <v>0</v>
      </c>
      <c r="I272" s="91" t="e">
        <f t="shared" si="8"/>
        <v>#DIV/0!</v>
      </c>
    </row>
    <row r="273" spans="1:9" ht="24" hidden="1" outlineLevel="5">
      <c r="A273" s="39" t="s">
        <v>181</v>
      </c>
      <c r="B273" s="53" t="s">
        <v>293</v>
      </c>
      <c r="C273" s="53" t="s">
        <v>333</v>
      </c>
      <c r="D273" s="53" t="s">
        <v>266</v>
      </c>
      <c r="E273" s="55">
        <v>0</v>
      </c>
      <c r="F273" s="54">
        <v>200</v>
      </c>
      <c r="G273" s="91">
        <v>0</v>
      </c>
      <c r="H273" s="91">
        <v>0</v>
      </c>
      <c r="I273" s="91" t="e">
        <f t="shared" si="8"/>
        <v>#DIV/0!</v>
      </c>
    </row>
    <row r="274" spans="1:9" ht="25.5" customHeight="1" outlineLevel="1">
      <c r="A274" s="39" t="s">
        <v>208</v>
      </c>
      <c r="B274" s="53" t="s">
        <v>293</v>
      </c>
      <c r="C274" s="53" t="s">
        <v>333</v>
      </c>
      <c r="D274" s="53" t="s">
        <v>259</v>
      </c>
      <c r="E274" s="55">
        <v>0</v>
      </c>
      <c r="F274" s="56"/>
      <c r="G274" s="91">
        <f>SUM(G275)</f>
        <v>20</v>
      </c>
      <c r="H274" s="91">
        <f>SUM(H275)</f>
        <v>0</v>
      </c>
      <c r="I274" s="91">
        <f t="shared" si="8"/>
        <v>0</v>
      </c>
    </row>
    <row r="275" spans="1:9" ht="24" outlineLevel="2">
      <c r="A275" s="39" t="s">
        <v>31</v>
      </c>
      <c r="B275" s="53" t="s">
        <v>293</v>
      </c>
      <c r="C275" s="53" t="s">
        <v>333</v>
      </c>
      <c r="D275" s="53" t="s">
        <v>259</v>
      </c>
      <c r="E275" s="55">
        <v>0</v>
      </c>
      <c r="F275" s="56">
        <v>600</v>
      </c>
      <c r="G275" s="91">
        <v>20</v>
      </c>
      <c r="H275" s="91">
        <v>0</v>
      </c>
      <c r="I275" s="91">
        <f t="shared" si="8"/>
        <v>0</v>
      </c>
    </row>
    <row r="276" spans="1:9" ht="24.75" customHeight="1" outlineLevel="5">
      <c r="A276" s="40" t="s">
        <v>209</v>
      </c>
      <c r="B276" s="53" t="s">
        <v>293</v>
      </c>
      <c r="C276" s="53" t="s">
        <v>333</v>
      </c>
      <c r="D276" s="53" t="s">
        <v>258</v>
      </c>
      <c r="E276" s="55">
        <v>0</v>
      </c>
      <c r="F276" s="56"/>
      <c r="G276" s="91">
        <f>SUM(G277)</f>
        <v>20</v>
      </c>
      <c r="H276" s="91">
        <f>SUM(H277)</f>
        <v>0</v>
      </c>
      <c r="I276" s="91">
        <f t="shared" si="8"/>
        <v>0</v>
      </c>
    </row>
    <row r="277" spans="1:9" ht="21.75" customHeight="1" outlineLevel="3">
      <c r="A277" s="39" t="s">
        <v>31</v>
      </c>
      <c r="B277" s="53" t="s">
        <v>293</v>
      </c>
      <c r="C277" s="53" t="s">
        <v>333</v>
      </c>
      <c r="D277" s="53" t="s">
        <v>258</v>
      </c>
      <c r="E277" s="55">
        <v>0</v>
      </c>
      <c r="F277" s="56">
        <v>600</v>
      </c>
      <c r="G277" s="91">
        <v>20</v>
      </c>
      <c r="H277" s="91">
        <v>0</v>
      </c>
      <c r="I277" s="91">
        <f t="shared" si="8"/>
        <v>0</v>
      </c>
    </row>
    <row r="278" spans="1:9" ht="24" hidden="1" outlineLevel="3">
      <c r="A278" s="39" t="s">
        <v>30</v>
      </c>
      <c r="B278" s="53" t="s">
        <v>293</v>
      </c>
      <c r="C278" s="53" t="s">
        <v>333</v>
      </c>
      <c r="D278" s="53" t="s">
        <v>270</v>
      </c>
      <c r="E278" s="55">
        <v>0</v>
      </c>
      <c r="F278" s="54"/>
      <c r="G278" s="91">
        <f>SUM(G279)</f>
        <v>0</v>
      </c>
      <c r="H278" s="91">
        <f>SUM(H279)</f>
        <v>0</v>
      </c>
      <c r="I278" s="91" t="e">
        <f t="shared" si="8"/>
        <v>#DIV/0!</v>
      </c>
    </row>
    <row r="279" spans="1:9" ht="24" hidden="1" outlineLevel="3">
      <c r="A279" s="39" t="s">
        <v>352</v>
      </c>
      <c r="B279" s="53" t="s">
        <v>293</v>
      </c>
      <c r="C279" s="53" t="s">
        <v>333</v>
      </c>
      <c r="D279" s="53" t="s">
        <v>270</v>
      </c>
      <c r="E279" s="55">
        <v>0</v>
      </c>
      <c r="F279" s="54">
        <v>200</v>
      </c>
      <c r="G279" s="91">
        <v>0</v>
      </c>
      <c r="H279" s="91">
        <v>0</v>
      </c>
      <c r="I279" s="91" t="e">
        <f t="shared" si="8"/>
        <v>#DIV/0!</v>
      </c>
    </row>
    <row r="280" spans="1:9" ht="27.75" customHeight="1" outlineLevel="3">
      <c r="A280" s="40" t="s">
        <v>210</v>
      </c>
      <c r="B280" s="53" t="s">
        <v>293</v>
      </c>
      <c r="C280" s="53" t="s">
        <v>366</v>
      </c>
      <c r="D280" s="53" t="s">
        <v>277</v>
      </c>
      <c r="E280" s="55">
        <v>0</v>
      </c>
      <c r="F280" s="54"/>
      <c r="G280" s="91">
        <f>SUM(G281+G283+G285+G287+G290)</f>
        <v>13183.271120000001</v>
      </c>
      <c r="H280" s="91">
        <f>SUM(H281+H283+H285+H287+H290)</f>
        <v>3419.8941100000006</v>
      </c>
      <c r="I280" s="91">
        <f t="shared" si="8"/>
        <v>25.941164972415436</v>
      </c>
    </row>
    <row r="281" spans="1:9" ht="15.75" outlineLevel="3">
      <c r="A281" s="40" t="s">
        <v>328</v>
      </c>
      <c r="B281" s="53" t="s">
        <v>293</v>
      </c>
      <c r="C281" s="53" t="s">
        <v>333</v>
      </c>
      <c r="D281" s="53" t="s">
        <v>277</v>
      </c>
      <c r="E281" s="55">
        <v>0</v>
      </c>
      <c r="F281" s="54"/>
      <c r="G281" s="91">
        <f>SUM(G282:G282)</f>
        <v>9382.669750000001</v>
      </c>
      <c r="H281" s="91">
        <f>SUM(H282:H282)</f>
        <v>2745.50669</v>
      </c>
      <c r="I281" s="91">
        <f t="shared" si="8"/>
        <v>29.26146569317331</v>
      </c>
    </row>
    <row r="282" spans="1:9" ht="27" customHeight="1" outlineLevel="3">
      <c r="A282" s="39" t="s">
        <v>31</v>
      </c>
      <c r="B282" s="53" t="s">
        <v>293</v>
      </c>
      <c r="C282" s="53" t="s">
        <v>333</v>
      </c>
      <c r="D282" s="53" t="s">
        <v>277</v>
      </c>
      <c r="E282" s="55">
        <v>0</v>
      </c>
      <c r="F282" s="54">
        <v>600</v>
      </c>
      <c r="G282" s="91">
        <f>8450+206.7+725.96975</f>
        <v>9382.669750000001</v>
      </c>
      <c r="H282" s="91">
        <v>2745.50669</v>
      </c>
      <c r="I282" s="91">
        <f t="shared" si="8"/>
        <v>29.26146569317331</v>
      </c>
    </row>
    <row r="283" spans="1:9" ht="16.5" customHeight="1" outlineLevel="5">
      <c r="A283" s="40" t="s">
        <v>329</v>
      </c>
      <c r="B283" s="53" t="s">
        <v>293</v>
      </c>
      <c r="C283" s="53" t="s">
        <v>333</v>
      </c>
      <c r="D283" s="53" t="s">
        <v>277</v>
      </c>
      <c r="E283" s="55">
        <v>0</v>
      </c>
      <c r="F283" s="56"/>
      <c r="G283" s="91">
        <f>SUM(G284)</f>
        <v>1749.72602</v>
      </c>
      <c r="H283" s="91">
        <f>SUM(H284)</f>
        <v>272.44896</v>
      </c>
      <c r="I283" s="91">
        <f t="shared" si="8"/>
        <v>15.570949787898794</v>
      </c>
    </row>
    <row r="284" spans="1:9" ht="27" customHeight="1" outlineLevel="5">
      <c r="A284" s="39" t="s">
        <v>31</v>
      </c>
      <c r="B284" s="53" t="s">
        <v>293</v>
      </c>
      <c r="C284" s="53" t="s">
        <v>333</v>
      </c>
      <c r="D284" s="53" t="s">
        <v>277</v>
      </c>
      <c r="E284" s="55">
        <v>0</v>
      </c>
      <c r="F284" s="56">
        <v>600</v>
      </c>
      <c r="G284" s="91">
        <f>862+731+100+56.72602</f>
        <v>1749.72602</v>
      </c>
      <c r="H284" s="91">
        <v>272.44896</v>
      </c>
      <c r="I284" s="91">
        <f t="shared" si="8"/>
        <v>15.570949787898794</v>
      </c>
    </row>
    <row r="285" spans="1:9" ht="15.75" outlineLevel="5">
      <c r="A285" s="40" t="s">
        <v>330</v>
      </c>
      <c r="B285" s="53" t="s">
        <v>293</v>
      </c>
      <c r="C285" s="53" t="s">
        <v>333</v>
      </c>
      <c r="D285" s="53" t="s">
        <v>277</v>
      </c>
      <c r="E285" s="55">
        <v>0</v>
      </c>
      <c r="F285" s="56"/>
      <c r="G285" s="91">
        <f>SUM(G286:G286)</f>
        <v>1509.60076</v>
      </c>
      <c r="H285" s="91">
        <f>SUM(H286:H286)</f>
        <v>258.30506</v>
      </c>
      <c r="I285" s="91">
        <f t="shared" si="8"/>
        <v>17.11081941956627</v>
      </c>
    </row>
    <row r="286" spans="1:9" ht="24" outlineLevel="5">
      <c r="A286" s="39" t="s">
        <v>31</v>
      </c>
      <c r="B286" s="53" t="s">
        <v>293</v>
      </c>
      <c r="C286" s="53" t="s">
        <v>333</v>
      </c>
      <c r="D286" s="53" t="s">
        <v>277</v>
      </c>
      <c r="E286" s="55">
        <v>0</v>
      </c>
      <c r="F286" s="56">
        <v>600</v>
      </c>
      <c r="G286" s="91">
        <f>1069+288+100+52.60076</f>
        <v>1509.60076</v>
      </c>
      <c r="H286" s="91">
        <v>258.30506</v>
      </c>
      <c r="I286" s="91">
        <f t="shared" si="8"/>
        <v>17.11081941956627</v>
      </c>
    </row>
    <row r="287" spans="1:9" ht="15.75" outlineLevel="5">
      <c r="A287" s="40" t="s">
        <v>331</v>
      </c>
      <c r="B287" s="53" t="s">
        <v>293</v>
      </c>
      <c r="C287" s="53" t="s">
        <v>334</v>
      </c>
      <c r="D287" s="53" t="s">
        <v>277</v>
      </c>
      <c r="E287" s="55">
        <v>0</v>
      </c>
      <c r="F287" s="56"/>
      <c r="G287" s="91">
        <f>SUM(G288)</f>
        <v>541.27459</v>
      </c>
      <c r="H287" s="91">
        <f>SUM(H288)</f>
        <v>143.6334</v>
      </c>
      <c r="I287" s="91">
        <f t="shared" si="8"/>
        <v>26.536143143168793</v>
      </c>
    </row>
    <row r="288" spans="1:9" ht="24" outlineLevel="5">
      <c r="A288" s="39" t="s">
        <v>31</v>
      </c>
      <c r="B288" s="53" t="s">
        <v>293</v>
      </c>
      <c r="C288" s="53" t="s">
        <v>334</v>
      </c>
      <c r="D288" s="53" t="s">
        <v>277</v>
      </c>
      <c r="E288" s="55">
        <v>0</v>
      </c>
      <c r="F288" s="56">
        <v>600</v>
      </c>
      <c r="G288" s="91">
        <f>493.3+47.97459</f>
        <v>541.27459</v>
      </c>
      <c r="H288" s="91">
        <v>143.6334</v>
      </c>
      <c r="I288" s="91">
        <f t="shared" si="8"/>
        <v>26.536143143168793</v>
      </c>
    </row>
    <row r="289" spans="1:9" ht="15.75" hidden="1" outlineLevel="5">
      <c r="A289" s="40" t="s">
        <v>332</v>
      </c>
      <c r="B289" s="53" t="s">
        <v>293</v>
      </c>
      <c r="C289" s="53" t="s">
        <v>335</v>
      </c>
      <c r="D289" s="53" t="s">
        <v>277</v>
      </c>
      <c r="E289" s="55">
        <v>0</v>
      </c>
      <c r="F289" s="56"/>
      <c r="G289" s="91">
        <f>SUM(G290+G291)</f>
        <v>0</v>
      </c>
      <c r="H289" s="91">
        <f>SUM(H290+H291)</f>
        <v>0</v>
      </c>
      <c r="I289" s="91" t="e">
        <f t="shared" si="8"/>
        <v>#DIV/0!</v>
      </c>
    </row>
    <row r="290" spans="1:9" ht="24" hidden="1" outlineLevel="5">
      <c r="A290" s="39" t="s">
        <v>31</v>
      </c>
      <c r="B290" s="53" t="s">
        <v>293</v>
      </c>
      <c r="C290" s="53" t="s">
        <v>335</v>
      </c>
      <c r="D290" s="53" t="s">
        <v>277</v>
      </c>
      <c r="E290" s="55">
        <v>0</v>
      </c>
      <c r="F290" s="56">
        <v>600</v>
      </c>
      <c r="G290" s="91">
        <v>0</v>
      </c>
      <c r="H290" s="91">
        <v>0</v>
      </c>
      <c r="I290" s="91" t="e">
        <f t="shared" si="8"/>
        <v>#DIV/0!</v>
      </c>
    </row>
    <row r="291" spans="1:9" ht="36" hidden="1" outlineLevel="5">
      <c r="A291" s="39" t="s">
        <v>164</v>
      </c>
      <c r="B291" s="53" t="s">
        <v>293</v>
      </c>
      <c r="C291" s="53" t="s">
        <v>335</v>
      </c>
      <c r="D291" s="53" t="s">
        <v>160</v>
      </c>
      <c r="E291" s="55">
        <v>0</v>
      </c>
      <c r="F291" s="56"/>
      <c r="G291" s="91">
        <f>SUM(G292)</f>
        <v>0</v>
      </c>
      <c r="H291" s="91">
        <f>SUM(H292)</f>
        <v>0</v>
      </c>
      <c r="I291" s="91" t="e">
        <f t="shared" si="8"/>
        <v>#DIV/0!</v>
      </c>
    </row>
    <row r="292" spans="1:9" ht="36" hidden="1" outlineLevel="5">
      <c r="A292" s="39" t="s">
        <v>166</v>
      </c>
      <c r="B292" s="53" t="s">
        <v>293</v>
      </c>
      <c r="C292" s="53" t="s">
        <v>335</v>
      </c>
      <c r="D292" s="53" t="s">
        <v>160</v>
      </c>
      <c r="E292" s="55">
        <v>0</v>
      </c>
      <c r="F292" s="56">
        <v>500</v>
      </c>
      <c r="G292" s="91">
        <v>0</v>
      </c>
      <c r="H292" s="91">
        <v>0</v>
      </c>
      <c r="I292" s="91" t="e">
        <f t="shared" si="8"/>
        <v>#DIV/0!</v>
      </c>
    </row>
    <row r="293" spans="1:9" ht="15.75" hidden="1" outlineLevel="5">
      <c r="A293" s="39" t="s">
        <v>84</v>
      </c>
      <c r="B293" s="53" t="s">
        <v>293</v>
      </c>
      <c r="C293" s="53" t="s">
        <v>85</v>
      </c>
      <c r="D293" s="53"/>
      <c r="E293" s="55"/>
      <c r="F293" s="56"/>
      <c r="G293" s="91">
        <f>SUM(G294)</f>
        <v>0</v>
      </c>
      <c r="H293" s="91">
        <f>SUM(H294)</f>
        <v>0</v>
      </c>
      <c r="I293" s="91" t="e">
        <f t="shared" si="8"/>
        <v>#DIV/0!</v>
      </c>
    </row>
    <row r="294" spans="1:9" ht="15.75" hidden="1" outlineLevel="5">
      <c r="A294" s="39" t="s">
        <v>86</v>
      </c>
      <c r="B294" s="53" t="s">
        <v>293</v>
      </c>
      <c r="C294" s="53" t="s">
        <v>87</v>
      </c>
      <c r="D294" s="53"/>
      <c r="E294" s="55"/>
      <c r="F294" s="56"/>
      <c r="G294" s="91">
        <f>SUM(G297)</f>
        <v>0</v>
      </c>
      <c r="H294" s="91">
        <f>SUM(H297)</f>
        <v>0</v>
      </c>
      <c r="I294" s="91" t="e">
        <f t="shared" si="8"/>
        <v>#DIV/0!</v>
      </c>
    </row>
    <row r="295" spans="1:9" ht="36" hidden="1" outlineLevel="5">
      <c r="A295" s="39" t="s">
        <v>115</v>
      </c>
      <c r="B295" s="53" t="s">
        <v>293</v>
      </c>
      <c r="C295" s="53" t="s">
        <v>87</v>
      </c>
      <c r="D295" s="53" t="s">
        <v>260</v>
      </c>
      <c r="E295" s="55">
        <v>0</v>
      </c>
      <c r="F295" s="56"/>
      <c r="G295" s="91">
        <f>SUM(G296)</f>
        <v>0</v>
      </c>
      <c r="H295" s="91">
        <f>SUM(H296)</f>
        <v>0</v>
      </c>
      <c r="I295" s="91" t="e">
        <f t="shared" si="8"/>
        <v>#DIV/0!</v>
      </c>
    </row>
    <row r="296" spans="1:9" ht="24" hidden="1" outlineLevel="5">
      <c r="A296" s="39" t="s">
        <v>75</v>
      </c>
      <c r="B296" s="53" t="s">
        <v>293</v>
      </c>
      <c r="C296" s="53" t="s">
        <v>87</v>
      </c>
      <c r="D296" s="53" t="s">
        <v>260</v>
      </c>
      <c r="E296" s="55">
        <v>3</v>
      </c>
      <c r="F296" s="54"/>
      <c r="G296" s="91">
        <f>SUM(G297:G297)</f>
        <v>0</v>
      </c>
      <c r="H296" s="91">
        <f>SUM(H297:H297)</f>
        <v>0</v>
      </c>
      <c r="I296" s="91" t="e">
        <f t="shared" si="8"/>
        <v>#DIV/0!</v>
      </c>
    </row>
    <row r="297" spans="1:9" ht="24" hidden="1" outlineLevel="5">
      <c r="A297" s="39" t="s">
        <v>34</v>
      </c>
      <c r="B297" s="53" t="s">
        <v>293</v>
      </c>
      <c r="C297" s="53" t="s">
        <v>87</v>
      </c>
      <c r="D297" s="53" t="s">
        <v>260</v>
      </c>
      <c r="E297" s="55">
        <v>3</v>
      </c>
      <c r="F297" s="54">
        <v>400</v>
      </c>
      <c r="G297" s="91">
        <v>0</v>
      </c>
      <c r="H297" s="91">
        <v>0</v>
      </c>
      <c r="I297" s="91" t="e">
        <f t="shared" si="8"/>
        <v>#DIV/0!</v>
      </c>
    </row>
    <row r="298" spans="1:9" ht="21" customHeight="1" outlineLevel="5">
      <c r="A298" s="39" t="s">
        <v>336</v>
      </c>
      <c r="B298" s="53" t="s">
        <v>293</v>
      </c>
      <c r="C298" s="53" t="s">
        <v>41</v>
      </c>
      <c r="D298" s="53"/>
      <c r="E298" s="55"/>
      <c r="F298" s="54"/>
      <c r="G298" s="91">
        <f>SUM(G299+G302+G315+G327)</f>
        <v>27965.196</v>
      </c>
      <c r="H298" s="91">
        <f>SUM(H299+H302+H315+H327)</f>
        <v>6385.55094</v>
      </c>
      <c r="I298" s="91">
        <f t="shared" si="8"/>
        <v>22.833921636022147</v>
      </c>
    </row>
    <row r="299" spans="1:9" ht="26.25" customHeight="1" outlineLevel="5">
      <c r="A299" s="39" t="s">
        <v>338</v>
      </c>
      <c r="B299" s="53" t="s">
        <v>293</v>
      </c>
      <c r="C299" s="53" t="s">
        <v>339</v>
      </c>
      <c r="D299" s="53"/>
      <c r="E299" s="55"/>
      <c r="F299" s="54"/>
      <c r="G299" s="91">
        <f>SUM(G300)</f>
        <v>5000</v>
      </c>
      <c r="H299" s="91">
        <f>SUM(H300)</f>
        <v>832.3544</v>
      </c>
      <c r="I299" s="91">
        <f t="shared" si="8"/>
        <v>16.647088</v>
      </c>
    </row>
    <row r="300" spans="1:9" ht="24" customHeight="1" outlineLevel="5">
      <c r="A300" s="39" t="s">
        <v>30</v>
      </c>
      <c r="B300" s="53" t="s">
        <v>293</v>
      </c>
      <c r="C300" s="53" t="s">
        <v>339</v>
      </c>
      <c r="D300" s="53" t="s">
        <v>270</v>
      </c>
      <c r="E300" s="55">
        <v>0</v>
      </c>
      <c r="F300" s="54"/>
      <c r="G300" s="91">
        <f>SUM(G301)</f>
        <v>5000</v>
      </c>
      <c r="H300" s="91">
        <f>SUM(H301)</f>
        <v>832.3544</v>
      </c>
      <c r="I300" s="91">
        <f t="shared" si="8"/>
        <v>16.647088</v>
      </c>
    </row>
    <row r="301" spans="1:9" ht="15.75" outlineLevel="5">
      <c r="A301" s="39" t="s">
        <v>32</v>
      </c>
      <c r="B301" s="53" t="s">
        <v>293</v>
      </c>
      <c r="C301" s="53" t="s">
        <v>339</v>
      </c>
      <c r="D301" s="53" t="s">
        <v>270</v>
      </c>
      <c r="E301" s="55">
        <v>0</v>
      </c>
      <c r="F301" s="54">
        <v>300</v>
      </c>
      <c r="G301" s="91">
        <v>5000</v>
      </c>
      <c r="H301" s="91">
        <v>832.3544</v>
      </c>
      <c r="I301" s="91">
        <f t="shared" si="8"/>
        <v>16.647088</v>
      </c>
    </row>
    <row r="302" spans="1:9" ht="18.75" customHeight="1" outlineLevel="5">
      <c r="A302" s="39" t="s">
        <v>340</v>
      </c>
      <c r="B302" s="53" t="s">
        <v>293</v>
      </c>
      <c r="C302" s="53" t="s">
        <v>342</v>
      </c>
      <c r="D302" s="53"/>
      <c r="E302" s="55"/>
      <c r="F302" s="54"/>
      <c r="G302" s="91">
        <f>SUM(G303+G305)</f>
        <v>12684.749</v>
      </c>
      <c r="H302" s="91">
        <f>SUM(H303+H305)</f>
        <v>3515.7525800000003</v>
      </c>
      <c r="I302" s="91">
        <f t="shared" si="8"/>
        <v>27.71637483721594</v>
      </c>
    </row>
    <row r="303" spans="1:9" ht="61.5" customHeight="1" outlineLevel="5">
      <c r="A303" s="39" t="s">
        <v>237</v>
      </c>
      <c r="B303" s="53" t="s">
        <v>293</v>
      </c>
      <c r="C303" s="53" t="s">
        <v>342</v>
      </c>
      <c r="D303" s="53" t="s">
        <v>261</v>
      </c>
      <c r="E303" s="55">
        <v>0</v>
      </c>
      <c r="F303" s="54"/>
      <c r="G303" s="91">
        <f>SUM(G304)</f>
        <v>600</v>
      </c>
      <c r="H303" s="91">
        <f>SUM(H304)</f>
        <v>0</v>
      </c>
      <c r="I303" s="91">
        <f t="shared" si="8"/>
        <v>0</v>
      </c>
    </row>
    <row r="304" spans="1:9" ht="16.5" customHeight="1" outlineLevel="5">
      <c r="A304" s="39" t="s">
        <v>32</v>
      </c>
      <c r="B304" s="53" t="s">
        <v>293</v>
      </c>
      <c r="C304" s="53" t="s">
        <v>342</v>
      </c>
      <c r="D304" s="53" t="s">
        <v>261</v>
      </c>
      <c r="E304" s="55">
        <v>0</v>
      </c>
      <c r="F304" s="54">
        <v>300</v>
      </c>
      <c r="G304" s="91">
        <v>600</v>
      </c>
      <c r="H304" s="91">
        <v>0</v>
      </c>
      <c r="I304" s="91">
        <f t="shared" si="8"/>
        <v>0</v>
      </c>
    </row>
    <row r="305" spans="1:9" ht="27.75" customHeight="1">
      <c r="A305" s="39" t="s">
        <v>30</v>
      </c>
      <c r="B305" s="53" t="s">
        <v>293</v>
      </c>
      <c r="C305" s="53" t="s">
        <v>342</v>
      </c>
      <c r="D305" s="53" t="s">
        <v>270</v>
      </c>
      <c r="E305" s="55">
        <v>0</v>
      </c>
      <c r="F305" s="54"/>
      <c r="G305" s="91">
        <f>SUM(G309+G312+G313+G314+G306)</f>
        <v>12084.749</v>
      </c>
      <c r="H305" s="91">
        <f>SUM(H309+H312+H313+H314+H306)</f>
        <v>3515.7525800000003</v>
      </c>
      <c r="I305" s="91">
        <f t="shared" si="8"/>
        <v>29.092474986447797</v>
      </c>
    </row>
    <row r="306" spans="1:9" ht="1.5" customHeight="1" hidden="1">
      <c r="A306" s="39" t="s">
        <v>177</v>
      </c>
      <c r="B306" s="53" t="s">
        <v>293</v>
      </c>
      <c r="C306" s="53" t="s">
        <v>342</v>
      </c>
      <c r="D306" s="53" t="s">
        <v>270</v>
      </c>
      <c r="E306" s="55">
        <v>0</v>
      </c>
      <c r="F306" s="54"/>
      <c r="G306" s="91">
        <f>SUM(G307:G308)</f>
        <v>0</v>
      </c>
      <c r="H306" s="91">
        <f>SUM(H307:H308)</f>
        <v>0</v>
      </c>
      <c r="I306" s="91" t="e">
        <f t="shared" si="8"/>
        <v>#DIV/0!</v>
      </c>
    </row>
    <row r="307" spans="1:9" ht="18" customHeight="1" hidden="1">
      <c r="A307" s="39" t="s">
        <v>32</v>
      </c>
      <c r="B307" s="53" t="s">
        <v>293</v>
      </c>
      <c r="C307" s="53" t="s">
        <v>342</v>
      </c>
      <c r="D307" s="53" t="s">
        <v>270</v>
      </c>
      <c r="E307" s="55">
        <v>0</v>
      </c>
      <c r="F307" s="54">
        <v>300</v>
      </c>
      <c r="G307" s="91">
        <v>0</v>
      </c>
      <c r="H307" s="91">
        <v>0</v>
      </c>
      <c r="I307" s="91" t="e">
        <f t="shared" si="8"/>
        <v>#DIV/0!</v>
      </c>
    </row>
    <row r="308" spans="1:9" ht="0.75" customHeight="1" hidden="1">
      <c r="A308" s="39" t="s">
        <v>352</v>
      </c>
      <c r="B308" s="53" t="s">
        <v>293</v>
      </c>
      <c r="C308" s="53" t="s">
        <v>342</v>
      </c>
      <c r="D308" s="53" t="s">
        <v>270</v>
      </c>
      <c r="E308" s="55">
        <v>0</v>
      </c>
      <c r="F308" s="54">
        <v>200</v>
      </c>
      <c r="G308" s="91">
        <v>0</v>
      </c>
      <c r="H308" s="91">
        <v>0</v>
      </c>
      <c r="I308" s="91" t="e">
        <f t="shared" si="8"/>
        <v>#DIV/0!</v>
      </c>
    </row>
    <row r="309" spans="1:9" ht="84">
      <c r="A309" s="39" t="s">
        <v>356</v>
      </c>
      <c r="B309" s="53" t="s">
        <v>293</v>
      </c>
      <c r="C309" s="53" t="s">
        <v>342</v>
      </c>
      <c r="D309" s="53" t="s">
        <v>270</v>
      </c>
      <c r="E309" s="55">
        <v>0</v>
      </c>
      <c r="F309" s="54"/>
      <c r="G309" s="91">
        <f>SUM(G310:G311)</f>
        <v>8266.649</v>
      </c>
      <c r="H309" s="91">
        <f>SUM(H310:H311)</f>
        <v>3379.02406</v>
      </c>
      <c r="I309" s="91">
        <f t="shared" si="8"/>
        <v>40.87537840302643</v>
      </c>
    </row>
    <row r="310" spans="1:9" ht="15.75">
      <c r="A310" s="39" t="s">
        <v>32</v>
      </c>
      <c r="B310" s="53" t="s">
        <v>293</v>
      </c>
      <c r="C310" s="53" t="s">
        <v>342</v>
      </c>
      <c r="D310" s="53" t="s">
        <v>270</v>
      </c>
      <c r="E310" s="55">
        <v>0</v>
      </c>
      <c r="F310" s="54">
        <v>300</v>
      </c>
      <c r="G310" s="91">
        <f>8157.2455+27.5555-16.176</f>
        <v>8168.625</v>
      </c>
      <c r="H310" s="91">
        <v>3379.02406</v>
      </c>
      <c r="I310" s="91">
        <f t="shared" si="8"/>
        <v>41.365885445836966</v>
      </c>
    </row>
    <row r="311" spans="1:9" ht="26.25" customHeight="1">
      <c r="A311" s="39" t="s">
        <v>352</v>
      </c>
      <c r="B311" s="53" t="s">
        <v>293</v>
      </c>
      <c r="C311" s="53" t="s">
        <v>342</v>
      </c>
      <c r="D311" s="53" t="s">
        <v>270</v>
      </c>
      <c r="E311" s="55">
        <v>0</v>
      </c>
      <c r="F311" s="54">
        <v>200</v>
      </c>
      <c r="G311" s="91">
        <f>99.257+1.2481-12.6237-9.3049+3.2715+16.176</f>
        <v>98.024</v>
      </c>
      <c r="H311" s="91">
        <v>0</v>
      </c>
      <c r="I311" s="91">
        <f t="shared" si="8"/>
        <v>0</v>
      </c>
    </row>
    <row r="312" spans="1:9" ht="67.5" customHeight="1">
      <c r="A312" s="39" t="s">
        <v>357</v>
      </c>
      <c r="B312" s="53" t="s">
        <v>293</v>
      </c>
      <c r="C312" s="53" t="s">
        <v>342</v>
      </c>
      <c r="D312" s="53" t="s">
        <v>270</v>
      </c>
      <c r="E312" s="55">
        <v>0</v>
      </c>
      <c r="F312" s="54">
        <v>300</v>
      </c>
      <c r="G312" s="91">
        <v>929.8</v>
      </c>
      <c r="H312" s="91">
        <v>40.37852</v>
      </c>
      <c r="I312" s="91">
        <f t="shared" si="8"/>
        <v>4.342710260271026</v>
      </c>
    </row>
    <row r="313" spans="1:9" ht="63.75" customHeight="1">
      <c r="A313" s="39" t="s">
        <v>358</v>
      </c>
      <c r="B313" s="53" t="s">
        <v>293</v>
      </c>
      <c r="C313" s="53" t="s">
        <v>342</v>
      </c>
      <c r="D313" s="53" t="s">
        <v>270</v>
      </c>
      <c r="E313" s="55">
        <v>0</v>
      </c>
      <c r="F313" s="54">
        <v>300</v>
      </c>
      <c r="G313" s="91">
        <v>22.7</v>
      </c>
      <c r="H313" s="91">
        <v>0</v>
      </c>
      <c r="I313" s="91">
        <f t="shared" si="8"/>
        <v>0</v>
      </c>
    </row>
    <row r="314" spans="1:9" ht="60.75" customHeight="1">
      <c r="A314" s="39" t="s">
        <v>359</v>
      </c>
      <c r="B314" s="53" t="s">
        <v>293</v>
      </c>
      <c r="C314" s="53" t="s">
        <v>342</v>
      </c>
      <c r="D314" s="53" t="s">
        <v>270</v>
      </c>
      <c r="E314" s="55">
        <v>0</v>
      </c>
      <c r="F314" s="54">
        <v>300</v>
      </c>
      <c r="G314" s="91">
        <v>2865.6</v>
      </c>
      <c r="H314" s="91">
        <v>96.35</v>
      </c>
      <c r="I314" s="91">
        <f t="shared" si="8"/>
        <v>3.362297599106644</v>
      </c>
    </row>
    <row r="315" spans="1:9" ht="17.25" customHeight="1">
      <c r="A315" s="39" t="s">
        <v>341</v>
      </c>
      <c r="B315" s="53" t="s">
        <v>293</v>
      </c>
      <c r="C315" s="53" t="s">
        <v>343</v>
      </c>
      <c r="D315" s="53"/>
      <c r="E315" s="55"/>
      <c r="F315" s="54"/>
      <c r="G315" s="91">
        <f>SUM(G318+G316)</f>
        <v>9338.396</v>
      </c>
      <c r="H315" s="91">
        <f>SUM(H318+H316)</f>
        <v>1851.1524000000002</v>
      </c>
      <c r="I315" s="91">
        <f t="shared" si="8"/>
        <v>19.8230231401624</v>
      </c>
    </row>
    <row r="316" spans="1:9" ht="32.25" customHeight="1">
      <c r="A316" s="39" t="s">
        <v>226</v>
      </c>
      <c r="B316" s="53" t="s">
        <v>293</v>
      </c>
      <c r="C316" s="53" t="s">
        <v>343</v>
      </c>
      <c r="D316" s="53" t="s">
        <v>114</v>
      </c>
      <c r="E316" s="55">
        <v>0</v>
      </c>
      <c r="F316" s="54"/>
      <c r="G316" s="91">
        <f>SUM(G317)</f>
        <v>378</v>
      </c>
      <c r="H316" s="91">
        <f>SUM(H317)</f>
        <v>378</v>
      </c>
      <c r="I316" s="91">
        <f t="shared" si="8"/>
        <v>100</v>
      </c>
    </row>
    <row r="317" spans="1:9" ht="15.75">
      <c r="A317" s="39" t="s">
        <v>32</v>
      </c>
      <c r="B317" s="53" t="s">
        <v>293</v>
      </c>
      <c r="C317" s="53" t="s">
        <v>343</v>
      </c>
      <c r="D317" s="53" t="s">
        <v>114</v>
      </c>
      <c r="E317" s="55">
        <v>0</v>
      </c>
      <c r="F317" s="54">
        <v>300</v>
      </c>
      <c r="G317" s="91">
        <f>97.90925+204.49075+75.6</f>
        <v>378</v>
      </c>
      <c r="H317" s="91">
        <v>378</v>
      </c>
      <c r="I317" s="91">
        <f t="shared" si="8"/>
        <v>100</v>
      </c>
    </row>
    <row r="318" spans="1:9" ht="27.75" customHeight="1">
      <c r="A318" s="39" t="s">
        <v>30</v>
      </c>
      <c r="B318" s="53" t="s">
        <v>293</v>
      </c>
      <c r="C318" s="53" t="s">
        <v>343</v>
      </c>
      <c r="D318" s="53" t="s">
        <v>270</v>
      </c>
      <c r="E318" s="55">
        <v>0</v>
      </c>
      <c r="F318" s="54"/>
      <c r="G318" s="91">
        <f>SUM(G319+G322+G325)</f>
        <v>8960.396</v>
      </c>
      <c r="H318" s="91">
        <f>SUM(H319+H322+H325)</f>
        <v>1473.1524000000002</v>
      </c>
      <c r="I318" s="91">
        <f t="shared" si="8"/>
        <v>16.440706415207544</v>
      </c>
    </row>
    <row r="319" spans="1:9" ht="48.75" customHeight="1">
      <c r="A319" s="39" t="s">
        <v>360</v>
      </c>
      <c r="B319" s="53" t="s">
        <v>293</v>
      </c>
      <c r="C319" s="53" t="s">
        <v>343</v>
      </c>
      <c r="D319" s="53" t="s">
        <v>270</v>
      </c>
      <c r="E319" s="55">
        <v>0</v>
      </c>
      <c r="F319" s="54"/>
      <c r="G319" s="91">
        <f>SUM(G320:G321)</f>
        <v>841.2</v>
      </c>
      <c r="H319" s="91">
        <f>SUM(H320:H321)</f>
        <v>24.7524</v>
      </c>
      <c r="I319" s="91">
        <f t="shared" si="8"/>
        <v>2.9425106990014265</v>
      </c>
    </row>
    <row r="320" spans="1:9" ht="14.25" customHeight="1">
      <c r="A320" s="39" t="s">
        <v>32</v>
      </c>
      <c r="B320" s="53" t="s">
        <v>293</v>
      </c>
      <c r="C320" s="53" t="s">
        <v>343</v>
      </c>
      <c r="D320" s="53" t="s">
        <v>270</v>
      </c>
      <c r="E320" s="55">
        <v>0</v>
      </c>
      <c r="F320" s="54">
        <v>300</v>
      </c>
      <c r="G320" s="91">
        <f>841.2-G321</f>
        <v>831.225</v>
      </c>
      <c r="H320" s="91">
        <v>24.7524</v>
      </c>
      <c r="I320" s="91">
        <f t="shared" si="8"/>
        <v>2.977821889380132</v>
      </c>
    </row>
    <row r="321" spans="1:9" ht="23.25" customHeight="1">
      <c r="A321" s="39" t="s">
        <v>352</v>
      </c>
      <c r="B321" s="53" t="s">
        <v>293</v>
      </c>
      <c r="C321" s="53" t="s">
        <v>343</v>
      </c>
      <c r="D321" s="53" t="s">
        <v>270</v>
      </c>
      <c r="E321" s="55">
        <v>0</v>
      </c>
      <c r="F321" s="54">
        <v>200</v>
      </c>
      <c r="G321" s="91">
        <f>8.3287+1.6463</f>
        <v>9.975</v>
      </c>
      <c r="H321" s="91">
        <v>0</v>
      </c>
      <c r="I321" s="91">
        <f t="shared" si="8"/>
        <v>0</v>
      </c>
    </row>
    <row r="322" spans="1:9" ht="96">
      <c r="A322" s="39" t="s">
        <v>103</v>
      </c>
      <c r="B322" s="53" t="s">
        <v>293</v>
      </c>
      <c r="C322" s="53" t="s">
        <v>343</v>
      </c>
      <c r="D322" s="53" t="s">
        <v>270</v>
      </c>
      <c r="E322" s="99">
        <v>0</v>
      </c>
      <c r="F322" s="54"/>
      <c r="G322" s="91">
        <f>SUM(G323:G324)</f>
        <v>8118.299999999999</v>
      </c>
      <c r="H322" s="91">
        <f>SUM(H323:H324)</f>
        <v>1448.4</v>
      </c>
      <c r="I322" s="91">
        <f t="shared" si="8"/>
        <v>17.841173644728578</v>
      </c>
    </row>
    <row r="323" spans="1:9" ht="15.75">
      <c r="A323" s="39" t="s">
        <v>361</v>
      </c>
      <c r="B323" s="53" t="s">
        <v>293</v>
      </c>
      <c r="C323" s="53" t="s">
        <v>343</v>
      </c>
      <c r="D323" s="53" t="s">
        <v>270</v>
      </c>
      <c r="E323" s="55">
        <v>0</v>
      </c>
      <c r="F323" s="54">
        <v>300</v>
      </c>
      <c r="G323" s="91">
        <v>6060.4</v>
      </c>
      <c r="H323" s="91">
        <v>1129.4</v>
      </c>
      <c r="I323" s="91">
        <f t="shared" si="8"/>
        <v>18.63573361494291</v>
      </c>
    </row>
    <row r="324" spans="1:9" ht="26.25" customHeight="1">
      <c r="A324" s="39" t="s">
        <v>362</v>
      </c>
      <c r="B324" s="53" t="s">
        <v>293</v>
      </c>
      <c r="C324" s="53" t="s">
        <v>343</v>
      </c>
      <c r="D324" s="53" t="s">
        <v>270</v>
      </c>
      <c r="E324" s="55">
        <v>0</v>
      </c>
      <c r="F324" s="54">
        <v>300</v>
      </c>
      <c r="G324" s="91">
        <v>2057.9</v>
      </c>
      <c r="H324" s="91">
        <v>319</v>
      </c>
      <c r="I324" s="91">
        <f t="shared" si="8"/>
        <v>15.50123912726566</v>
      </c>
    </row>
    <row r="325" spans="1:9" ht="39.75" customHeight="1">
      <c r="A325" s="39" t="s">
        <v>175</v>
      </c>
      <c r="B325" s="53" t="s">
        <v>293</v>
      </c>
      <c r="C325" s="53" t="s">
        <v>343</v>
      </c>
      <c r="D325" s="53" t="s">
        <v>270</v>
      </c>
      <c r="E325" s="99">
        <v>0</v>
      </c>
      <c r="F325" s="54"/>
      <c r="G325" s="91">
        <f>SUM(G326)</f>
        <v>0.8959999999999773</v>
      </c>
      <c r="H325" s="91">
        <f>SUM(H326)</f>
        <v>0</v>
      </c>
      <c r="I325" s="91">
        <f t="shared" si="8"/>
        <v>0</v>
      </c>
    </row>
    <row r="326" spans="1:9" ht="26.25" customHeight="1">
      <c r="A326" s="39" t="s">
        <v>352</v>
      </c>
      <c r="B326" s="53" t="s">
        <v>293</v>
      </c>
      <c r="C326" s="53" t="s">
        <v>343</v>
      </c>
      <c r="D326" s="53" t="s">
        <v>270</v>
      </c>
      <c r="E326" s="55">
        <v>0</v>
      </c>
      <c r="F326" s="54">
        <v>200</v>
      </c>
      <c r="G326" s="91">
        <f>299.3-0.03599-298.36401-0.004</f>
        <v>0.8959999999999773</v>
      </c>
      <c r="H326" s="91">
        <v>0</v>
      </c>
      <c r="I326" s="91">
        <f t="shared" si="8"/>
        <v>0</v>
      </c>
    </row>
    <row r="327" spans="1:9" ht="15.75">
      <c r="A327" s="39" t="s">
        <v>96</v>
      </c>
      <c r="B327" s="53" t="s">
        <v>293</v>
      </c>
      <c r="C327" s="53" t="s">
        <v>95</v>
      </c>
      <c r="D327" s="53"/>
      <c r="E327" s="55"/>
      <c r="F327" s="54"/>
      <c r="G327" s="91">
        <f>SUM(G328)</f>
        <v>942.0509999999999</v>
      </c>
      <c r="H327" s="91">
        <f>SUM(H328)</f>
        <v>186.29156</v>
      </c>
      <c r="I327" s="91">
        <f t="shared" si="8"/>
        <v>19.7751034710435</v>
      </c>
    </row>
    <row r="328" spans="1:9" ht="24">
      <c r="A328" s="39" t="s">
        <v>30</v>
      </c>
      <c r="B328" s="53" t="s">
        <v>293</v>
      </c>
      <c r="C328" s="53" t="s">
        <v>95</v>
      </c>
      <c r="D328" s="53" t="s">
        <v>270</v>
      </c>
      <c r="E328" s="55">
        <v>0</v>
      </c>
      <c r="F328" s="54"/>
      <c r="G328" s="91">
        <f>SUM(G329)</f>
        <v>942.0509999999999</v>
      </c>
      <c r="H328" s="91">
        <f>SUM(H329)</f>
        <v>186.29156</v>
      </c>
      <c r="I328" s="91">
        <f t="shared" si="8"/>
        <v>19.7751034710435</v>
      </c>
    </row>
    <row r="329" spans="1:9" ht="84">
      <c r="A329" s="39" t="s">
        <v>356</v>
      </c>
      <c r="B329" s="53" t="s">
        <v>293</v>
      </c>
      <c r="C329" s="53" t="s">
        <v>95</v>
      </c>
      <c r="D329" s="53" t="s">
        <v>270</v>
      </c>
      <c r="E329" s="55">
        <v>0</v>
      </c>
      <c r="F329" s="54"/>
      <c r="G329" s="91">
        <f>SUM(G330:G331)</f>
        <v>942.0509999999999</v>
      </c>
      <c r="H329" s="91">
        <f>SUM(H330:H331)</f>
        <v>186.29156</v>
      </c>
      <c r="I329" s="91">
        <f t="shared" si="8"/>
        <v>19.7751034710435</v>
      </c>
    </row>
    <row r="330" spans="1:9" ht="43.5" customHeight="1">
      <c r="A330" s="39" t="s">
        <v>351</v>
      </c>
      <c r="B330" s="53" t="s">
        <v>293</v>
      </c>
      <c r="C330" s="53" t="s">
        <v>95</v>
      </c>
      <c r="D330" s="53" t="s">
        <v>270</v>
      </c>
      <c r="E330" s="55">
        <v>0</v>
      </c>
      <c r="F330" s="54">
        <v>100</v>
      </c>
      <c r="G330" s="91">
        <f>786.4+63.151</f>
        <v>849.5509999999999</v>
      </c>
      <c r="H330" s="91">
        <v>154.61966</v>
      </c>
      <c r="I330" s="91">
        <f t="shared" si="8"/>
        <v>18.200162203328585</v>
      </c>
    </row>
    <row r="331" spans="1:9" ht="25.5" customHeight="1">
      <c r="A331" s="39" t="s">
        <v>352</v>
      </c>
      <c r="B331" s="53" t="s">
        <v>293</v>
      </c>
      <c r="C331" s="53" t="s">
        <v>95</v>
      </c>
      <c r="D331" s="53" t="s">
        <v>270</v>
      </c>
      <c r="E331" s="55">
        <v>0</v>
      </c>
      <c r="F331" s="54">
        <v>200</v>
      </c>
      <c r="G331" s="91">
        <f>186.478-63.151-30.827</f>
        <v>92.5</v>
      </c>
      <c r="H331" s="91">
        <v>31.6719</v>
      </c>
      <c r="I331" s="91">
        <f aca="true" t="shared" si="9" ref="I331:I357">SUM(H331/G331)*100</f>
        <v>34.239891891891894</v>
      </c>
    </row>
    <row r="332" spans="1:9" ht="20.25" customHeight="1">
      <c r="A332" s="39" t="s">
        <v>344</v>
      </c>
      <c r="B332" s="53" t="s">
        <v>293</v>
      </c>
      <c r="C332" s="53" t="s">
        <v>12</v>
      </c>
      <c r="D332" s="53"/>
      <c r="E332" s="55"/>
      <c r="F332" s="54"/>
      <c r="G332" s="91">
        <f>SUM(G341+G337+G333)</f>
        <v>400</v>
      </c>
      <c r="H332" s="91">
        <f>SUM(H341+H337+H333)</f>
        <v>56.15</v>
      </c>
      <c r="I332" s="91">
        <f t="shared" si="9"/>
        <v>14.0375</v>
      </c>
    </row>
    <row r="333" spans="1:9" ht="20.25" customHeight="1" hidden="1">
      <c r="A333" s="39" t="s">
        <v>131</v>
      </c>
      <c r="B333" s="53" t="s">
        <v>293</v>
      </c>
      <c r="C333" s="53" t="s">
        <v>88</v>
      </c>
      <c r="D333" s="53"/>
      <c r="E333" s="55"/>
      <c r="F333" s="54"/>
      <c r="G333" s="91">
        <f>SUM(G334)</f>
        <v>0</v>
      </c>
      <c r="H333" s="91">
        <f>SUM(H334)</f>
        <v>0</v>
      </c>
      <c r="I333" s="91" t="e">
        <f t="shared" si="9"/>
        <v>#DIV/0!</v>
      </c>
    </row>
    <row r="334" spans="1:9" ht="20.25" customHeight="1" hidden="1">
      <c r="A334" s="39" t="s">
        <v>129</v>
      </c>
      <c r="B334" s="53" t="s">
        <v>293</v>
      </c>
      <c r="C334" s="53" t="s">
        <v>88</v>
      </c>
      <c r="D334" s="53" t="s">
        <v>266</v>
      </c>
      <c r="E334" s="55">
        <v>0</v>
      </c>
      <c r="F334" s="54"/>
      <c r="G334" s="91">
        <f>SUM(G335:G336)</f>
        <v>0</v>
      </c>
      <c r="H334" s="91">
        <f>SUM(H335:H336)</f>
        <v>0</v>
      </c>
      <c r="I334" s="91" t="e">
        <f t="shared" si="9"/>
        <v>#DIV/0!</v>
      </c>
    </row>
    <row r="335" spans="1:9" ht="20.25" customHeight="1" hidden="1">
      <c r="A335" s="39" t="s">
        <v>138</v>
      </c>
      <c r="B335" s="53" t="s">
        <v>293</v>
      </c>
      <c r="C335" s="53" t="s">
        <v>88</v>
      </c>
      <c r="D335" s="53" t="s">
        <v>266</v>
      </c>
      <c r="E335" s="55">
        <v>0</v>
      </c>
      <c r="F335" s="54">
        <v>400</v>
      </c>
      <c r="G335" s="91">
        <v>0</v>
      </c>
      <c r="H335" s="91">
        <v>0</v>
      </c>
      <c r="I335" s="91" t="e">
        <f t="shared" si="9"/>
        <v>#DIV/0!</v>
      </c>
    </row>
    <row r="336" spans="1:9" ht="20.25" customHeight="1" hidden="1">
      <c r="A336" s="39" t="s">
        <v>130</v>
      </c>
      <c r="B336" s="53" t="s">
        <v>293</v>
      </c>
      <c r="C336" s="53" t="s">
        <v>88</v>
      </c>
      <c r="D336" s="53" t="s">
        <v>266</v>
      </c>
      <c r="E336" s="55">
        <v>0</v>
      </c>
      <c r="F336" s="54">
        <v>400</v>
      </c>
      <c r="G336" s="91">
        <v>0</v>
      </c>
      <c r="H336" s="91">
        <v>0</v>
      </c>
      <c r="I336" s="91" t="e">
        <f t="shared" si="9"/>
        <v>#DIV/0!</v>
      </c>
    </row>
    <row r="337" spans="1:9" ht="15.75" hidden="1">
      <c r="A337" s="39" t="s">
        <v>127</v>
      </c>
      <c r="B337" s="53" t="s">
        <v>293</v>
      </c>
      <c r="C337" s="53" t="s">
        <v>126</v>
      </c>
      <c r="D337" s="53"/>
      <c r="E337" s="55"/>
      <c r="F337" s="54"/>
      <c r="G337" s="91">
        <f>SUM(G338)</f>
        <v>0</v>
      </c>
      <c r="H337" s="91">
        <f>SUM(H338)</f>
        <v>0</v>
      </c>
      <c r="I337" s="91" t="e">
        <f t="shared" si="9"/>
        <v>#DIV/0!</v>
      </c>
    </row>
    <row r="338" spans="1:9" ht="24" hidden="1">
      <c r="A338" s="39" t="s">
        <v>112</v>
      </c>
      <c r="B338" s="53" t="s">
        <v>293</v>
      </c>
      <c r="C338" s="53" t="s">
        <v>126</v>
      </c>
      <c r="D338" s="53" t="s">
        <v>272</v>
      </c>
      <c r="E338" s="55">
        <v>0</v>
      </c>
      <c r="F338" s="54"/>
      <c r="G338" s="91">
        <f>SUM(G339:G340)</f>
        <v>0</v>
      </c>
      <c r="H338" s="91">
        <f>SUM(H339:H340)</f>
        <v>0</v>
      </c>
      <c r="I338" s="91" t="e">
        <f t="shared" si="9"/>
        <v>#DIV/0!</v>
      </c>
    </row>
    <row r="339" spans="1:9" ht="36" hidden="1">
      <c r="A339" s="39" t="s">
        <v>153</v>
      </c>
      <c r="B339" s="53" t="s">
        <v>293</v>
      </c>
      <c r="C339" s="53" t="s">
        <v>126</v>
      </c>
      <c r="D339" s="53" t="s">
        <v>272</v>
      </c>
      <c r="E339" s="55">
        <v>0</v>
      </c>
      <c r="F339" s="54">
        <v>400</v>
      </c>
      <c r="G339" s="91">
        <v>0</v>
      </c>
      <c r="H339" s="91">
        <v>0</v>
      </c>
      <c r="I339" s="91" t="e">
        <f t="shared" si="9"/>
        <v>#DIV/0!</v>
      </c>
    </row>
    <row r="340" spans="1:9" ht="24" hidden="1">
      <c r="A340" s="39" t="s">
        <v>34</v>
      </c>
      <c r="B340" s="53" t="s">
        <v>293</v>
      </c>
      <c r="C340" s="53" t="s">
        <v>126</v>
      </c>
      <c r="D340" s="53" t="s">
        <v>272</v>
      </c>
      <c r="E340" s="55">
        <v>0</v>
      </c>
      <c r="F340" s="54">
        <v>400</v>
      </c>
      <c r="G340" s="91">
        <v>0</v>
      </c>
      <c r="H340" s="91">
        <v>0</v>
      </c>
      <c r="I340" s="91" t="e">
        <f t="shared" si="9"/>
        <v>#DIV/0!</v>
      </c>
    </row>
    <row r="341" spans="1:9" ht="15.75">
      <c r="A341" s="39" t="s">
        <v>89</v>
      </c>
      <c r="B341" s="53" t="s">
        <v>293</v>
      </c>
      <c r="C341" s="53" t="s">
        <v>345</v>
      </c>
      <c r="D341" s="53"/>
      <c r="E341" s="55"/>
      <c r="F341" s="54"/>
      <c r="G341" s="91">
        <f>SUM(G342)</f>
        <v>400</v>
      </c>
      <c r="H341" s="91">
        <f>SUM(H342)</f>
        <v>56.15</v>
      </c>
      <c r="I341" s="91">
        <f t="shared" si="9"/>
        <v>14.0375</v>
      </c>
    </row>
    <row r="342" spans="1:9" ht="24.75" customHeight="1">
      <c r="A342" s="39" t="s">
        <v>211</v>
      </c>
      <c r="B342" s="53" t="s">
        <v>293</v>
      </c>
      <c r="C342" s="53" t="s">
        <v>345</v>
      </c>
      <c r="D342" s="53" t="s">
        <v>272</v>
      </c>
      <c r="E342" s="55">
        <v>0</v>
      </c>
      <c r="F342" s="54"/>
      <c r="G342" s="91">
        <f>SUM(G343)</f>
        <v>400</v>
      </c>
      <c r="H342" s="91">
        <f>SUM(H343)</f>
        <v>56.15</v>
      </c>
      <c r="I342" s="91">
        <f t="shared" si="9"/>
        <v>14.0375</v>
      </c>
    </row>
    <row r="343" spans="1:9" ht="24" customHeight="1">
      <c r="A343" s="39" t="s">
        <v>352</v>
      </c>
      <c r="B343" s="53" t="s">
        <v>293</v>
      </c>
      <c r="C343" s="53" t="s">
        <v>345</v>
      </c>
      <c r="D343" s="53" t="s">
        <v>272</v>
      </c>
      <c r="E343" s="55">
        <v>0</v>
      </c>
      <c r="F343" s="54">
        <v>200</v>
      </c>
      <c r="G343" s="91">
        <f>500+10-10-100</f>
        <v>400</v>
      </c>
      <c r="H343" s="91">
        <v>56.15</v>
      </c>
      <c r="I343" s="91">
        <f t="shared" si="9"/>
        <v>14.0375</v>
      </c>
    </row>
    <row r="344" spans="1:9" ht="15.75">
      <c r="A344" s="39" t="s">
        <v>346</v>
      </c>
      <c r="B344" s="53" t="s">
        <v>293</v>
      </c>
      <c r="C344" s="53" t="s">
        <v>13</v>
      </c>
      <c r="D344" s="53"/>
      <c r="E344" s="55"/>
      <c r="F344" s="54"/>
      <c r="G344" s="91">
        <f>SUM(G346)</f>
        <v>2163.6</v>
      </c>
      <c r="H344" s="91">
        <f>SUM(H346)</f>
        <v>300</v>
      </c>
      <c r="I344" s="91">
        <f t="shared" si="9"/>
        <v>13.865779256794234</v>
      </c>
    </row>
    <row r="345" spans="1:9" ht="18.75" customHeight="1">
      <c r="A345" s="39" t="s">
        <v>185</v>
      </c>
      <c r="B345" s="53" t="s">
        <v>293</v>
      </c>
      <c r="C345" s="53" t="s">
        <v>347</v>
      </c>
      <c r="D345" s="53"/>
      <c r="E345" s="55"/>
      <c r="F345" s="100"/>
      <c r="G345" s="91">
        <f>SUM(G346)</f>
        <v>2163.6</v>
      </c>
      <c r="H345" s="91">
        <f>SUM(H346)</f>
        <v>300</v>
      </c>
      <c r="I345" s="91">
        <f t="shared" si="9"/>
        <v>13.865779256794234</v>
      </c>
    </row>
    <row r="346" spans="1:9" ht="32.25" customHeight="1">
      <c r="A346" s="39" t="s">
        <v>215</v>
      </c>
      <c r="B346" s="53" t="s">
        <v>293</v>
      </c>
      <c r="C346" s="53" t="s">
        <v>347</v>
      </c>
      <c r="D346" s="53" t="s">
        <v>16</v>
      </c>
      <c r="E346" s="55">
        <v>0</v>
      </c>
      <c r="F346" s="54"/>
      <c r="G346" s="91">
        <f>SUM(G347:G348)</f>
        <v>2163.6</v>
      </c>
      <c r="H346" s="91">
        <f>SUM(H347:H348)</f>
        <v>300</v>
      </c>
      <c r="I346" s="91">
        <f t="shared" si="9"/>
        <v>13.865779256794234</v>
      </c>
    </row>
    <row r="347" spans="1:9" ht="24">
      <c r="A347" s="39" t="s">
        <v>31</v>
      </c>
      <c r="B347" s="53" t="s">
        <v>293</v>
      </c>
      <c r="C347" s="53" t="s">
        <v>347</v>
      </c>
      <c r="D347" s="53" t="s">
        <v>16</v>
      </c>
      <c r="E347" s="55">
        <v>0</v>
      </c>
      <c r="F347" s="54">
        <v>600</v>
      </c>
      <c r="G347" s="91">
        <v>1200</v>
      </c>
      <c r="H347" s="91">
        <v>300</v>
      </c>
      <c r="I347" s="91">
        <f t="shared" si="9"/>
        <v>25</v>
      </c>
    </row>
    <row r="348" spans="1:9" ht="84">
      <c r="A348" s="39" t="s">
        <v>73</v>
      </c>
      <c r="B348" s="53" t="s">
        <v>293</v>
      </c>
      <c r="C348" s="53" t="s">
        <v>347</v>
      </c>
      <c r="D348" s="53" t="s">
        <v>16</v>
      </c>
      <c r="E348" s="55">
        <v>0</v>
      </c>
      <c r="F348" s="54">
        <v>600</v>
      </c>
      <c r="G348" s="91">
        <f>1071.5-123.8+15.9</f>
        <v>963.6</v>
      </c>
      <c r="H348" s="91">
        <v>0</v>
      </c>
      <c r="I348" s="91">
        <f t="shared" si="9"/>
        <v>0</v>
      </c>
    </row>
    <row r="349" spans="1:9" ht="15.75">
      <c r="A349" s="39" t="s">
        <v>186</v>
      </c>
      <c r="B349" s="53" t="s">
        <v>293</v>
      </c>
      <c r="C349" s="53" t="s">
        <v>14</v>
      </c>
      <c r="D349" s="53"/>
      <c r="E349" s="55"/>
      <c r="F349" s="54"/>
      <c r="G349" s="91">
        <f>SUM(G352)</f>
        <v>3276</v>
      </c>
      <c r="H349" s="91">
        <f>SUM(H352)</f>
        <v>331.24056</v>
      </c>
      <c r="I349" s="91">
        <f t="shared" si="9"/>
        <v>10.111128205128207</v>
      </c>
    </row>
    <row r="350" spans="1:9" ht="17.25" customHeight="1">
      <c r="A350" s="39" t="s">
        <v>173</v>
      </c>
      <c r="B350" s="53" t="s">
        <v>293</v>
      </c>
      <c r="C350" s="53" t="s">
        <v>348</v>
      </c>
      <c r="D350" s="53"/>
      <c r="E350" s="55"/>
      <c r="F350" s="54"/>
      <c r="G350" s="91">
        <f>SUM(G351)</f>
        <v>3276</v>
      </c>
      <c r="H350" s="91">
        <f>SUM(H351)</f>
        <v>331.24056</v>
      </c>
      <c r="I350" s="91">
        <f t="shared" si="9"/>
        <v>10.111128205128207</v>
      </c>
    </row>
    <row r="351" spans="1:9" ht="24">
      <c r="A351" s="39" t="s">
        <v>30</v>
      </c>
      <c r="B351" s="53" t="s">
        <v>293</v>
      </c>
      <c r="C351" s="53" t="s">
        <v>348</v>
      </c>
      <c r="D351" s="53" t="s">
        <v>270</v>
      </c>
      <c r="E351" s="55">
        <v>0</v>
      </c>
      <c r="F351" s="54"/>
      <c r="G351" s="91">
        <f>SUM(G352)</f>
        <v>3276</v>
      </c>
      <c r="H351" s="91">
        <f>SUM(H352)</f>
        <v>331.24056</v>
      </c>
      <c r="I351" s="91">
        <f t="shared" si="9"/>
        <v>10.111128205128207</v>
      </c>
    </row>
    <row r="352" spans="1:9" ht="15.75">
      <c r="A352" s="39" t="s">
        <v>189</v>
      </c>
      <c r="B352" s="53" t="s">
        <v>293</v>
      </c>
      <c r="C352" s="53" t="s">
        <v>348</v>
      </c>
      <c r="D352" s="53" t="s">
        <v>270</v>
      </c>
      <c r="E352" s="55">
        <v>0</v>
      </c>
      <c r="F352" s="54">
        <v>700</v>
      </c>
      <c r="G352" s="91">
        <f>6+1085+285+1900</f>
        <v>3276</v>
      </c>
      <c r="H352" s="91">
        <v>331.24056</v>
      </c>
      <c r="I352" s="91">
        <f t="shared" si="9"/>
        <v>10.111128205128207</v>
      </c>
    </row>
    <row r="353" spans="1:9" ht="24">
      <c r="A353" s="39" t="s">
        <v>188</v>
      </c>
      <c r="B353" s="53" t="s">
        <v>293</v>
      </c>
      <c r="C353" s="53" t="s">
        <v>42</v>
      </c>
      <c r="D353" s="53"/>
      <c r="E353" s="55"/>
      <c r="F353" s="54"/>
      <c r="G353" s="91">
        <f aca="true" t="shared" si="10" ref="G353:H355">SUM(G354)</f>
        <v>30095.7467</v>
      </c>
      <c r="H353" s="91">
        <f t="shared" si="10"/>
        <v>3504.041</v>
      </c>
      <c r="I353" s="91">
        <f t="shared" si="9"/>
        <v>11.642977444384194</v>
      </c>
    </row>
    <row r="354" spans="1:9" ht="15.75">
      <c r="A354" s="39" t="s">
        <v>43</v>
      </c>
      <c r="B354" s="53" t="s">
        <v>293</v>
      </c>
      <c r="C354" s="53" t="s">
        <v>44</v>
      </c>
      <c r="D354" s="53"/>
      <c r="E354" s="55"/>
      <c r="F354" s="54"/>
      <c r="G354" s="91">
        <f t="shared" si="10"/>
        <v>30095.7467</v>
      </c>
      <c r="H354" s="91">
        <f t="shared" si="10"/>
        <v>3504.041</v>
      </c>
      <c r="I354" s="91">
        <f t="shared" si="9"/>
        <v>11.642977444384194</v>
      </c>
    </row>
    <row r="355" spans="1:9" ht="24">
      <c r="A355" s="39" t="s">
        <v>30</v>
      </c>
      <c r="B355" s="53" t="s">
        <v>293</v>
      </c>
      <c r="C355" s="53" t="s">
        <v>44</v>
      </c>
      <c r="D355" s="53" t="s">
        <v>270</v>
      </c>
      <c r="E355" s="55">
        <v>0</v>
      </c>
      <c r="F355" s="54"/>
      <c r="G355" s="91">
        <f t="shared" si="10"/>
        <v>30095.7467</v>
      </c>
      <c r="H355" s="91">
        <f t="shared" si="10"/>
        <v>3504.041</v>
      </c>
      <c r="I355" s="91">
        <f t="shared" si="9"/>
        <v>11.642977444384194</v>
      </c>
    </row>
    <row r="356" spans="1:9" ht="15.75">
      <c r="A356" s="39" t="s">
        <v>33</v>
      </c>
      <c r="B356" s="53" t="s">
        <v>293</v>
      </c>
      <c r="C356" s="53" t="s">
        <v>44</v>
      </c>
      <c r="D356" s="53" t="s">
        <v>270</v>
      </c>
      <c r="E356" s="55">
        <v>0</v>
      </c>
      <c r="F356" s="54">
        <v>500</v>
      </c>
      <c r="G356" s="91">
        <f>17843.5+180.23737+7200+2798.00933+1924+150</f>
        <v>30095.7467</v>
      </c>
      <c r="H356" s="91">
        <v>3504.041</v>
      </c>
      <c r="I356" s="91">
        <f t="shared" si="9"/>
        <v>11.642977444384194</v>
      </c>
    </row>
    <row r="357" spans="1:9" ht="15.75">
      <c r="A357" s="39" t="s">
        <v>349</v>
      </c>
      <c r="B357" s="53"/>
      <c r="C357" s="53"/>
      <c r="D357" s="53"/>
      <c r="E357" s="55"/>
      <c r="F357" s="54"/>
      <c r="G357" s="91">
        <f>SUM(G10+G18+G26)</f>
        <v>715649.7068800001</v>
      </c>
      <c r="H357" s="91">
        <f>SUM(H10+H18+H26)</f>
        <v>97886.35964999998</v>
      </c>
      <c r="I357" s="91">
        <f t="shared" si="9"/>
        <v>13.677971039316523</v>
      </c>
    </row>
  </sheetData>
  <sheetProtection/>
  <mergeCells count="7">
    <mergeCell ref="G4:I4"/>
    <mergeCell ref="G8:H8"/>
    <mergeCell ref="G1:I1"/>
    <mergeCell ref="G2:I2"/>
    <mergeCell ref="G3:I3"/>
    <mergeCell ref="A6:I6"/>
    <mergeCell ref="E5:I5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55"/>
  <sheetViews>
    <sheetView showGridLines="0" zoomScale="110" zoomScaleNormal="110" zoomScalePageLayoutView="0" workbookViewId="0" topLeftCell="A1">
      <pane ySplit="9" topLeftCell="BM23" activePane="bottomLeft" state="frozen"/>
      <selection pane="topLeft" activeCell="A1" sqref="A1"/>
      <selection pane="bottomLeft" activeCell="H23" sqref="H23"/>
    </sheetView>
  </sheetViews>
  <sheetFormatPr defaultColWidth="9.140625" defaultRowHeight="12.75" outlineLevelRow="5"/>
  <cols>
    <col min="1" max="1" width="47.140625" style="7" customWidth="1"/>
    <col min="2" max="2" width="4.57421875" style="12" customWidth="1"/>
    <col min="3" max="3" width="4.140625" style="12" customWidth="1"/>
    <col min="4" max="4" width="3.57421875" style="13" customWidth="1"/>
    <col min="5" max="5" width="5.421875" style="11" customWidth="1"/>
    <col min="6" max="6" width="8.8515625" style="2" customWidth="1"/>
    <col min="7" max="7" width="9.140625" style="2" customWidth="1"/>
    <col min="8" max="8" width="9.7109375" style="2" bestFit="1" customWidth="1"/>
    <col min="9" max="16384" width="9.140625" style="2" customWidth="1"/>
  </cols>
  <sheetData>
    <row r="1" spans="1:8" ht="18.75" customHeight="1">
      <c r="A1" s="47"/>
      <c r="B1" s="48"/>
      <c r="C1" s="49"/>
      <c r="D1" s="49"/>
      <c r="E1" s="49"/>
      <c r="F1" s="107"/>
      <c r="G1" s="107"/>
      <c r="H1" s="107"/>
    </row>
    <row r="2" spans="1:8" ht="12.75" customHeight="1">
      <c r="A2" s="47"/>
      <c r="B2" s="107" t="s">
        <v>17</v>
      </c>
      <c r="C2" s="107"/>
      <c r="D2" s="107"/>
      <c r="E2" s="107"/>
      <c r="F2" s="107"/>
      <c r="G2" s="107"/>
      <c r="H2" s="107"/>
    </row>
    <row r="3" spans="1:8" ht="18.75" customHeight="1">
      <c r="A3" s="47"/>
      <c r="B3" s="48"/>
      <c r="C3" s="48"/>
      <c r="D3" s="50"/>
      <c r="E3" s="107" t="s">
        <v>18</v>
      </c>
      <c r="F3" s="107"/>
      <c r="G3" s="107"/>
      <c r="H3" s="107"/>
    </row>
    <row r="4" spans="1:8" ht="18.75" customHeight="1">
      <c r="A4" s="107" t="s">
        <v>28</v>
      </c>
      <c r="B4" s="107"/>
      <c r="C4" s="107"/>
      <c r="D4" s="107"/>
      <c r="E4" s="107"/>
      <c r="F4" s="107"/>
      <c r="G4" s="107"/>
      <c r="H4" s="107"/>
    </row>
    <row r="5" spans="1:5" ht="15">
      <c r="A5" s="8"/>
      <c r="B5" s="1"/>
      <c r="C5" s="1"/>
      <c r="D5" s="5"/>
      <c r="E5" s="10"/>
    </row>
    <row r="6" spans="1:8" ht="44.25" customHeight="1">
      <c r="A6" s="115" t="s">
        <v>204</v>
      </c>
      <c r="B6" s="115"/>
      <c r="C6" s="115"/>
      <c r="D6" s="115"/>
      <c r="E6" s="115"/>
      <c r="F6" s="115"/>
      <c r="G6" s="115"/>
      <c r="H6" s="115"/>
    </row>
    <row r="7" spans="1:5" ht="7.5" customHeight="1">
      <c r="A7" s="27"/>
      <c r="B7" s="28"/>
      <c r="C7" s="28"/>
      <c r="D7" s="29"/>
      <c r="E7" s="30"/>
    </row>
    <row r="8" spans="1:8" ht="6.75" customHeight="1">
      <c r="A8" s="27"/>
      <c r="B8" s="28"/>
      <c r="C8" s="28"/>
      <c r="D8" s="29"/>
      <c r="E8" s="30"/>
      <c r="F8" s="114"/>
      <c r="G8" s="114"/>
      <c r="H8" s="72" t="s">
        <v>139</v>
      </c>
    </row>
    <row r="9" spans="1:8" ht="87.75" customHeight="1">
      <c r="A9" s="32" t="s">
        <v>255</v>
      </c>
      <c r="B9" s="78" t="s">
        <v>52</v>
      </c>
      <c r="C9" s="82" t="s">
        <v>94</v>
      </c>
      <c r="D9" s="76" t="s">
        <v>262</v>
      </c>
      <c r="E9" s="77" t="s">
        <v>29</v>
      </c>
      <c r="F9" s="31" t="s">
        <v>169</v>
      </c>
      <c r="G9" s="31" t="s">
        <v>241</v>
      </c>
      <c r="H9" s="31" t="s">
        <v>240</v>
      </c>
    </row>
    <row r="10" spans="1:8" s="4" customFormat="1" ht="12.75" outlineLevel="3">
      <c r="A10" s="39" t="str">
        <f>'Приложение 3'!A11</f>
        <v>ОБЩЕГОСУДАРСТВЕННЫЕ ВОПРОСЫ</v>
      </c>
      <c r="B10" s="63" t="str">
        <f>'Приложение 3'!C11</f>
        <v>0100</v>
      </c>
      <c r="C10" s="63"/>
      <c r="D10" s="63"/>
      <c r="E10" s="63"/>
      <c r="F10" s="51">
        <f>SUM(F11+F20+F50+F54+F57+F14+F44+F40)</f>
        <v>82248.38487000001</v>
      </c>
      <c r="G10" s="51">
        <f>SUM(G11+G20+G50+G54+G57+G14+G44+G40)</f>
        <v>20672.66713</v>
      </c>
      <c r="H10" s="88">
        <f aca="true" t="shared" si="0" ref="H10:H73">SUM(G10/F10)*100</f>
        <v>25.13443536025025</v>
      </c>
    </row>
    <row r="11" spans="1:8" s="4" customFormat="1" ht="28.5" customHeight="1" outlineLevel="3">
      <c r="A11" s="39" t="str">
        <f>'Приложение 3'!A28</f>
        <v>Функционирование высшего должностного лица субъекта Российской Федерации и муниципального образования</v>
      </c>
      <c r="B11" s="63" t="str">
        <f>'Приложение 3'!C28</f>
        <v>0102</v>
      </c>
      <c r="C11" s="63"/>
      <c r="D11" s="63"/>
      <c r="E11" s="63"/>
      <c r="F11" s="51">
        <f>SUM(F12)</f>
        <v>2600</v>
      </c>
      <c r="G11" s="51">
        <f>SUM(G12)</f>
        <v>429.6834</v>
      </c>
      <c r="H11" s="88">
        <f t="shared" si="0"/>
        <v>16.526284615384615</v>
      </c>
    </row>
    <row r="12" spans="1:8" s="4" customFormat="1" ht="36" outlineLevel="3">
      <c r="A12" s="39" t="str">
        <f>'Приложение 3'!A29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63" t="str">
        <f>'Приложение 3'!C29</f>
        <v>0102</v>
      </c>
      <c r="C12" s="63" t="s">
        <v>265</v>
      </c>
      <c r="D12" s="63" t="s">
        <v>263</v>
      </c>
      <c r="E12" s="63">
        <v>100</v>
      </c>
      <c r="F12" s="51">
        <f>SUM(F13)</f>
        <v>2600</v>
      </c>
      <c r="G12" s="51">
        <f>SUM(G13)</f>
        <v>429.6834</v>
      </c>
      <c r="H12" s="88">
        <f t="shared" si="0"/>
        <v>16.526284615384615</v>
      </c>
    </row>
    <row r="13" spans="1:8" ht="48" outlineLevel="1">
      <c r="A13" s="39" t="str">
        <f>'Приложение 3'!A30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63" t="str">
        <f>'Приложение 3'!C30</f>
        <v>0102</v>
      </c>
      <c r="C13" s="63" t="s">
        <v>265</v>
      </c>
      <c r="D13" s="63">
        <v>0</v>
      </c>
      <c r="E13" s="63">
        <v>100</v>
      </c>
      <c r="F13" s="51">
        <f>SUM('Приложение 3'!G30)</f>
        <v>2600</v>
      </c>
      <c r="G13" s="51">
        <f>SUM('Приложение 3'!H30)</f>
        <v>429.6834</v>
      </c>
      <c r="H13" s="88">
        <f t="shared" si="0"/>
        <v>16.526284615384615</v>
      </c>
    </row>
    <row r="14" spans="1:8" ht="37.5" customHeight="1" outlineLevel="1">
      <c r="A14" s="39" t="str">
        <f>'Приложение 3'!A12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63" t="str">
        <f>'Приложение 3'!C12</f>
        <v>0103</v>
      </c>
      <c r="C14" s="64"/>
      <c r="D14" s="63"/>
      <c r="E14" s="63"/>
      <c r="F14" s="51">
        <f>SUBTOTAL(9,'Приложение 3'!G11)</f>
        <v>631.2</v>
      </c>
      <c r="G14" s="51">
        <f>SUBTOTAL(9,'Приложение 3'!H11)</f>
        <v>167.71894</v>
      </c>
      <c r="H14" s="88">
        <f t="shared" si="0"/>
        <v>26.571441698352345</v>
      </c>
    </row>
    <row r="15" spans="1:8" ht="24.75" customHeight="1" outlineLevel="1">
      <c r="A15" s="39" t="str">
        <f>'Приложение 3'!A13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63" t="str">
        <f>'Приложение 3'!C13</f>
        <v>0103</v>
      </c>
      <c r="C15" s="64"/>
      <c r="D15" s="63"/>
      <c r="E15" s="63"/>
      <c r="F15" s="51">
        <f>SUBTOTAL(9,'Приложение 3'!G12)</f>
        <v>631.2</v>
      </c>
      <c r="G15" s="51">
        <f>SUBTOTAL(9,'Приложение 3'!H12)</f>
        <v>167.71894</v>
      </c>
      <c r="H15" s="88">
        <f t="shared" si="0"/>
        <v>26.571441698352345</v>
      </c>
    </row>
    <row r="16" spans="1:8" ht="48" outlineLevel="1">
      <c r="A16" s="39" t="str">
        <f>'Приложение 3'!A14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63" t="str">
        <f>'Приложение 3'!C14</f>
        <v>0103</v>
      </c>
      <c r="C16" s="63" t="str">
        <f>'Приложение 3'!D14</f>
        <v>90</v>
      </c>
      <c r="D16" s="63" t="str">
        <f>'Приложение 3'!E14</f>
        <v>0</v>
      </c>
      <c r="E16" s="63">
        <f>'Приложение 3'!F14</f>
        <v>100</v>
      </c>
      <c r="F16" s="51">
        <f>SUBTOTAL(9,'Приложение 3'!G14)</f>
        <v>551.51436</v>
      </c>
      <c r="G16" s="51">
        <f>SUBTOTAL(9,'Приложение 3'!H14)</f>
        <v>163.81894</v>
      </c>
      <c r="H16" s="88">
        <f t="shared" si="0"/>
        <v>29.703476805209565</v>
      </c>
    </row>
    <row r="17" spans="1:8" ht="24" outlineLevel="1">
      <c r="A17" s="39" t="str">
        <f>'Приложение 3'!A15</f>
        <v>Закупка товаров, работ и услуг для государственных (муниципальных) нужд</v>
      </c>
      <c r="B17" s="63" t="str">
        <f>'Приложение 3'!C15</f>
        <v>0103</v>
      </c>
      <c r="C17" s="63" t="str">
        <f>'Приложение 3'!D15</f>
        <v>90</v>
      </c>
      <c r="D17" s="63">
        <f>'Приложение 3'!E15</f>
        <v>0</v>
      </c>
      <c r="E17" s="63">
        <f>'Приложение 3'!F15</f>
        <v>200</v>
      </c>
      <c r="F17" s="51">
        <f>SUBTOTAL(9,'Приложение 3'!G15)</f>
        <v>79.68563999999999</v>
      </c>
      <c r="G17" s="51">
        <f>SUBTOTAL(9,'Приложение 3'!H15)</f>
        <v>3.9</v>
      </c>
      <c r="H17" s="88">
        <f t="shared" si="0"/>
        <v>4.894231884188921</v>
      </c>
    </row>
    <row r="18" spans="1:8" ht="27.75" customHeight="1" hidden="1" outlineLevel="1">
      <c r="A18" s="39" t="str">
        <f>'Приложение 3'!A16</f>
        <v>Непрограммные расходы органов местного самоуправления Алексеевского муниципального района</v>
      </c>
      <c r="B18" s="63" t="str">
        <f>'Приложение 3'!C16</f>
        <v>0103</v>
      </c>
      <c r="C18" s="63" t="str">
        <f>'Приложение 3'!D16</f>
        <v>99</v>
      </c>
      <c r="D18" s="63">
        <f>'Приложение 3'!E16</f>
        <v>0</v>
      </c>
      <c r="E18" s="65"/>
      <c r="F18" s="51">
        <f>SUBTOTAL(9,'Приложение 3'!G16)</f>
        <v>0</v>
      </c>
      <c r="G18" s="51">
        <f>SUBTOTAL(9,'Приложение 3'!H16)</f>
        <v>0</v>
      </c>
      <c r="H18" s="88" t="e">
        <f t="shared" si="0"/>
        <v>#DIV/0!</v>
      </c>
    </row>
    <row r="19" spans="1:8" ht="12.75" hidden="1" outlineLevel="1">
      <c r="A19" s="39" t="str">
        <f>'Приложение 3'!A17</f>
        <v>Иные бюджетные ассигнования</v>
      </c>
      <c r="B19" s="63" t="str">
        <f>'Приложение 3'!C17</f>
        <v>0103</v>
      </c>
      <c r="C19" s="63" t="str">
        <f>'Приложение 3'!D17</f>
        <v>99</v>
      </c>
      <c r="D19" s="63">
        <f>'Приложение 3'!E17</f>
        <v>0</v>
      </c>
      <c r="E19" s="63">
        <f>'Приложение 3'!F17</f>
        <v>800</v>
      </c>
      <c r="F19" s="51">
        <f>SUBTOTAL(9,'Приложение 3'!G17)</f>
        <v>0</v>
      </c>
      <c r="G19" s="51">
        <f>SUBTOTAL(9,'Приложение 3'!H17)</f>
        <v>0</v>
      </c>
      <c r="H19" s="88" t="e">
        <f t="shared" si="0"/>
        <v>#DIV/0!</v>
      </c>
    </row>
    <row r="20" spans="1:8" ht="36" outlineLevel="2">
      <c r="A20" s="40" t="str">
        <f>'Приложение 3'!A31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64" t="str">
        <f>'Приложение 3'!C31</f>
        <v>0104</v>
      </c>
      <c r="C20" s="64"/>
      <c r="D20" s="64"/>
      <c r="E20" s="64"/>
      <c r="F20" s="51">
        <f>'Приложение 3'!G31</f>
        <v>39535.3</v>
      </c>
      <c r="G20" s="51">
        <f>'Приложение 3'!H31</f>
        <v>6985.3019300000005</v>
      </c>
      <c r="H20" s="88">
        <f t="shared" si="0"/>
        <v>17.66851884265454</v>
      </c>
    </row>
    <row r="21" spans="1:8" s="4" customFormat="1" ht="36" outlineLevel="3">
      <c r="A21" s="40" t="str">
        <f>'Приложение 3'!A32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64" t="str">
        <f>'Приложение 3'!C32</f>
        <v>0104</v>
      </c>
      <c r="C21" s="64" t="str">
        <f>'Приложение 3'!D32</f>
        <v>90</v>
      </c>
      <c r="D21" s="64">
        <f>'Приложение 3'!E32</f>
        <v>0</v>
      </c>
      <c r="E21" s="64"/>
      <c r="F21" s="51">
        <f>'Приложение 3'!G32</f>
        <v>39485.3</v>
      </c>
      <c r="G21" s="51">
        <f>'Приложение 3'!H32</f>
        <v>6985.3019300000005</v>
      </c>
      <c r="H21" s="88">
        <f t="shared" si="0"/>
        <v>17.69089238273484</v>
      </c>
    </row>
    <row r="22" spans="1:8" s="4" customFormat="1" ht="12.75" outlineLevel="3">
      <c r="A22" s="40" t="str">
        <f>'Приложение 3'!A33</f>
        <v>Центральный аппарат</v>
      </c>
      <c r="B22" s="64" t="str">
        <f>'Приложение 3'!C33</f>
        <v>0104</v>
      </c>
      <c r="C22" s="64" t="str">
        <f>'Приложение 3'!D33</f>
        <v>90</v>
      </c>
      <c r="D22" s="64">
        <f>'Приложение 3'!E33</f>
        <v>0</v>
      </c>
      <c r="E22" s="64"/>
      <c r="F22" s="51">
        <f>'Приложение 3'!G33</f>
        <v>37311.8</v>
      </c>
      <c r="G22" s="51">
        <f>'Приложение 3'!H33</f>
        <v>6618.3226</v>
      </c>
      <c r="H22" s="88">
        <f t="shared" si="0"/>
        <v>17.73788077766283</v>
      </c>
    </row>
    <row r="23" spans="1:8" s="4" customFormat="1" ht="48" outlineLevel="3">
      <c r="A23" s="40" t="str">
        <f>'Приложение 3'!A34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64" t="str">
        <f>'Приложение 3'!C34</f>
        <v>0104</v>
      </c>
      <c r="C23" s="64" t="str">
        <f>'Приложение 3'!D34</f>
        <v>90</v>
      </c>
      <c r="D23" s="64">
        <f>'Приложение 3'!E34</f>
        <v>0</v>
      </c>
      <c r="E23" s="64">
        <f>'Приложение 3'!F34</f>
        <v>100</v>
      </c>
      <c r="F23" s="51">
        <f>'Приложение 3'!G34</f>
        <v>35611.8</v>
      </c>
      <c r="G23" s="51">
        <f>'Приложение 3'!H34</f>
        <v>6508.88413</v>
      </c>
      <c r="H23" s="88">
        <f t="shared" si="0"/>
        <v>18.277324173448125</v>
      </c>
    </row>
    <row r="24" spans="1:8" ht="24" outlineLevel="1">
      <c r="A24" s="40" t="str">
        <f>'Приложение 3'!A35</f>
        <v>Закупка товаров, работ и услуг для государственных (муниципальных) нужд</v>
      </c>
      <c r="B24" s="64" t="str">
        <f>'Приложение 3'!C35</f>
        <v>0104</v>
      </c>
      <c r="C24" s="64" t="str">
        <f>'Приложение 3'!D35</f>
        <v>90</v>
      </c>
      <c r="D24" s="64">
        <f>'Приложение 3'!E35</f>
        <v>0</v>
      </c>
      <c r="E24" s="64">
        <f>'Приложение 3'!F35</f>
        <v>200</v>
      </c>
      <c r="F24" s="51">
        <f>'Приложение 3'!G35</f>
        <v>1700</v>
      </c>
      <c r="G24" s="51">
        <f>'Приложение 3'!H35</f>
        <v>109.43847</v>
      </c>
      <c r="H24" s="88">
        <f t="shared" si="0"/>
        <v>6.437557058823529</v>
      </c>
    </row>
    <row r="25" spans="1:8" ht="36" outlineLevel="2">
      <c r="A25" s="40" t="str">
        <f>'Приложение 3'!A36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64" t="str">
        <f>'Приложение 3'!C36</f>
        <v>0104</v>
      </c>
      <c r="C25" s="64" t="str">
        <f>'Приложение 3'!D36</f>
        <v>90</v>
      </c>
      <c r="D25" s="64" t="str">
        <f>'Приложение 3'!E36</f>
        <v>0</v>
      </c>
      <c r="E25" s="64"/>
      <c r="F25" s="51">
        <f>'Приложение 3'!G36</f>
        <v>2173.5</v>
      </c>
      <c r="G25" s="51">
        <f>'Приложение 3'!H36</f>
        <v>366.97933</v>
      </c>
      <c r="H25" s="88">
        <f t="shared" si="0"/>
        <v>16.884257188865885</v>
      </c>
    </row>
    <row r="26" spans="1:8" ht="25.5" customHeight="1" outlineLevel="2">
      <c r="A26" s="40" t="str">
        <f>'Приложение 3'!A37</f>
        <v>За счет субвенции на организационное обеспечение деятельности территориальных административных комиссий</v>
      </c>
      <c r="B26" s="64" t="str">
        <f>'Приложение 3'!C37</f>
        <v>0104</v>
      </c>
      <c r="C26" s="64" t="str">
        <f>'Приложение 3'!D37</f>
        <v>90</v>
      </c>
      <c r="D26" s="64" t="str">
        <f>'Приложение 3'!E37</f>
        <v>0</v>
      </c>
      <c r="E26" s="64"/>
      <c r="F26" s="51">
        <f>'Приложение 3'!G37</f>
        <v>368.6</v>
      </c>
      <c r="G26" s="51">
        <f>'Приложение 3'!H37</f>
        <v>83.78914</v>
      </c>
      <c r="H26" s="88">
        <f t="shared" si="0"/>
        <v>22.731725447639718</v>
      </c>
    </row>
    <row r="27" spans="1:8" ht="48.75" customHeight="1" collapsed="1">
      <c r="A27" s="40" t="str">
        <f>'Приложение 3'!A38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64" t="s">
        <v>294</v>
      </c>
      <c r="C27" s="64" t="s">
        <v>265</v>
      </c>
      <c r="D27" s="62">
        <v>0</v>
      </c>
      <c r="E27" s="63">
        <v>100</v>
      </c>
      <c r="F27" s="51">
        <f>'Приложение 3'!G38</f>
        <v>368.6</v>
      </c>
      <c r="G27" s="51">
        <f>'Приложение 3'!H38</f>
        <v>83.78914</v>
      </c>
      <c r="H27" s="88">
        <f t="shared" si="0"/>
        <v>22.731725447639718</v>
      </c>
    </row>
    <row r="28" spans="1:8" ht="24" hidden="1" outlineLevel="1">
      <c r="A28" s="40" t="str">
        <f>'Приложение 3'!A39</f>
        <v>Закупка товаров, работ и услуг для государственных (муниципальных) нужд</v>
      </c>
      <c r="B28" s="64" t="str">
        <f>'Приложение 3'!C39</f>
        <v>0104</v>
      </c>
      <c r="C28" s="64" t="str">
        <f>'Приложение 3'!D39</f>
        <v>90</v>
      </c>
      <c r="D28" s="64" t="str">
        <f>'Приложение 3'!E39</f>
        <v>0</v>
      </c>
      <c r="E28" s="64">
        <f>'Приложение 3'!F39</f>
        <v>200</v>
      </c>
      <c r="F28" s="51">
        <f>'Приложение 3'!G39</f>
        <v>0</v>
      </c>
      <c r="G28" s="51">
        <f>'Приложение 3'!H39</f>
        <v>0</v>
      </c>
      <c r="H28" s="88" t="e">
        <f t="shared" si="0"/>
        <v>#DIV/0!</v>
      </c>
    </row>
    <row r="29" spans="1:8" ht="25.5" customHeight="1" outlineLevel="2">
      <c r="A29" s="40" t="str">
        <f>'Приложение 3'!A40</f>
        <v>За счет субвенции на организацию и осуществление деятельности по опеке и попечительству</v>
      </c>
      <c r="B29" s="64" t="str">
        <f>'Приложение 3'!C40</f>
        <v>0104</v>
      </c>
      <c r="C29" s="64" t="str">
        <f>'Приложение 3'!D40</f>
        <v>90</v>
      </c>
      <c r="D29" s="64" t="str">
        <f>'Приложение 3'!E40</f>
        <v>0</v>
      </c>
      <c r="E29" s="64"/>
      <c r="F29" s="51">
        <f>'Приложение 3'!G40</f>
        <v>825.8</v>
      </c>
      <c r="G29" s="51">
        <f>'Приложение 3'!H40</f>
        <v>154.88013</v>
      </c>
      <c r="H29" s="88">
        <f t="shared" si="0"/>
        <v>18.75516226689271</v>
      </c>
    </row>
    <row r="30" spans="1:8" ht="48" outlineLevel="1">
      <c r="A30" s="40" t="str">
        <f>'Приложение 3'!A41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64" t="str">
        <f>'Приложение 3'!C41</f>
        <v>0104</v>
      </c>
      <c r="C30" s="64" t="str">
        <f>'Приложение 3'!D41</f>
        <v>90</v>
      </c>
      <c r="D30" s="64" t="str">
        <f>'Приложение 3'!E41</f>
        <v>0</v>
      </c>
      <c r="E30" s="64">
        <f>'Приложение 3'!F41</f>
        <v>100</v>
      </c>
      <c r="F30" s="51">
        <f>'Приложение 3'!G41</f>
        <v>815.8</v>
      </c>
      <c r="G30" s="51">
        <f>'Приложение 3'!H41</f>
        <v>154.88013</v>
      </c>
      <c r="H30" s="88">
        <f t="shared" si="0"/>
        <v>18.98506128953175</v>
      </c>
    </row>
    <row r="31" spans="1:8" ht="24" outlineLevel="5">
      <c r="A31" s="40" t="str">
        <f>'Приложение 3'!A42</f>
        <v>Закупка товаров, работ и услуг для государственных (муниципальных) нужд</v>
      </c>
      <c r="B31" s="64" t="str">
        <f>'Приложение 3'!C42</f>
        <v>0104</v>
      </c>
      <c r="C31" s="64" t="str">
        <f>'Приложение 3'!D42</f>
        <v>90</v>
      </c>
      <c r="D31" s="64" t="str">
        <f>'Приложение 3'!E42</f>
        <v>0</v>
      </c>
      <c r="E31" s="64">
        <f>'Приложение 3'!F42</f>
        <v>200</v>
      </c>
      <c r="F31" s="51">
        <f>'Приложение 3'!G42</f>
        <v>10</v>
      </c>
      <c r="G31" s="51">
        <f>'Приложение 3'!H42</f>
        <v>0</v>
      </c>
      <c r="H31" s="88">
        <f t="shared" si="0"/>
        <v>0</v>
      </c>
    </row>
    <row r="32" spans="1:8" ht="39.75" customHeight="1" outlineLevel="5">
      <c r="A32" s="40" t="str">
        <f>'Приложение 3'!A43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64" t="str">
        <f>'Приложение 3'!C43</f>
        <v>0104</v>
      </c>
      <c r="C32" s="64" t="str">
        <f>'Приложение 3'!D43</f>
        <v>90</v>
      </c>
      <c r="D32" s="64" t="str">
        <f>'Приложение 3'!E43</f>
        <v>0</v>
      </c>
      <c r="E32" s="64"/>
      <c r="F32" s="51">
        <f>'Приложение 3'!G43</f>
        <v>387.6</v>
      </c>
      <c r="G32" s="51">
        <f>'Приложение 3'!H43</f>
        <v>103.29526</v>
      </c>
      <c r="H32" s="88">
        <f t="shared" si="0"/>
        <v>26.649963880288958</v>
      </c>
    </row>
    <row r="33" spans="1:8" ht="48" outlineLevel="5">
      <c r="A33" s="40" t="str">
        <f>'Приложение 3'!A44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64" t="str">
        <f>'Приложение 3'!C44</f>
        <v>0104</v>
      </c>
      <c r="C33" s="64" t="str">
        <f>'Приложение 3'!D44</f>
        <v>90</v>
      </c>
      <c r="D33" s="64" t="str">
        <f>'Приложение 3'!E44</f>
        <v>0</v>
      </c>
      <c r="E33" s="64">
        <f>'Приложение 3'!F44</f>
        <v>100</v>
      </c>
      <c r="F33" s="51">
        <f>'Приложение 3'!G44</f>
        <v>387.6</v>
      </c>
      <c r="G33" s="51">
        <f>'Приложение 3'!H44</f>
        <v>103.29526</v>
      </c>
      <c r="H33" s="88">
        <f t="shared" si="0"/>
        <v>26.649963880288958</v>
      </c>
    </row>
    <row r="34" spans="1:8" ht="24" hidden="1" outlineLevel="2">
      <c r="A34" s="40" t="str">
        <f>'Приложение 3'!A45</f>
        <v>Закупка товаров, работ и услуг для государственных (муниципальных) нужд</v>
      </c>
      <c r="B34" s="64" t="str">
        <f>'Приложение 3'!C45</f>
        <v>0104</v>
      </c>
      <c r="C34" s="64" t="str">
        <f>'Приложение 3'!D45</f>
        <v>90</v>
      </c>
      <c r="D34" s="64" t="str">
        <f>'Приложение 3'!E45</f>
        <v>0</v>
      </c>
      <c r="E34" s="64">
        <f>'Приложение 3'!F45</f>
        <v>200</v>
      </c>
      <c r="F34" s="51">
        <f>'Приложение 3'!G45</f>
        <v>0</v>
      </c>
      <c r="G34" s="51">
        <f>'Приложение 3'!H45</f>
        <v>0</v>
      </c>
      <c r="H34" s="88" t="e">
        <f t="shared" si="0"/>
        <v>#DIV/0!</v>
      </c>
    </row>
    <row r="35" spans="1:8" ht="60" outlineLevel="4">
      <c r="A35" s="40" t="str">
        <f>'Приложение 3'!A46</f>
        <v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v>
      </c>
      <c r="B35" s="64" t="str">
        <f>'Приложение 3'!C46</f>
        <v>0104</v>
      </c>
      <c r="C35" s="64" t="str">
        <f>'Приложение 3'!D46</f>
        <v>90</v>
      </c>
      <c r="D35" s="64" t="str">
        <f>'Приложение 3'!E46</f>
        <v>0</v>
      </c>
      <c r="E35" s="64"/>
      <c r="F35" s="51">
        <f>'Приложение 3'!G46</f>
        <v>591.5</v>
      </c>
      <c r="G35" s="51">
        <f>'Приложение 3'!H46</f>
        <v>25.0148</v>
      </c>
      <c r="H35" s="88">
        <f t="shared" si="0"/>
        <v>4.229044801352494</v>
      </c>
    </row>
    <row r="36" spans="1:8" ht="48" outlineLevel="4">
      <c r="A36" s="40" t="str">
        <f>'Приложение 3'!A47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64" t="str">
        <f>'Приложение 3'!C47</f>
        <v>0104</v>
      </c>
      <c r="C36" s="64" t="str">
        <f>'Приложение 3'!D47</f>
        <v>90</v>
      </c>
      <c r="D36" s="64" t="str">
        <f>'Приложение 3'!E47</f>
        <v>0</v>
      </c>
      <c r="E36" s="64">
        <f>'Приложение 3'!F47</f>
        <v>100</v>
      </c>
      <c r="F36" s="51">
        <f>'Приложение 3'!G47</f>
        <v>92.5</v>
      </c>
      <c r="G36" s="51">
        <f>'Приложение 3'!H47</f>
        <v>0</v>
      </c>
      <c r="H36" s="88">
        <f t="shared" si="0"/>
        <v>0</v>
      </c>
    </row>
    <row r="37" spans="1:8" ht="24" outlineLevel="5">
      <c r="A37" s="40" t="str">
        <f>'Приложение 3'!A48</f>
        <v>Закупка товаров, работ и услуг для государственных (муниципальных) нужд</v>
      </c>
      <c r="B37" s="64" t="str">
        <f>'Приложение 3'!C48</f>
        <v>0104</v>
      </c>
      <c r="C37" s="64" t="str">
        <f>'Приложение 3'!D48</f>
        <v>90</v>
      </c>
      <c r="D37" s="64" t="str">
        <f>'Приложение 3'!E48</f>
        <v>0</v>
      </c>
      <c r="E37" s="64">
        <f>'Приложение 3'!F48</f>
        <v>200</v>
      </c>
      <c r="F37" s="51">
        <f>'Приложение 3'!G48</f>
        <v>499</v>
      </c>
      <c r="G37" s="51">
        <f>'Приложение 3'!H48</f>
        <v>25.0148</v>
      </c>
      <c r="H37" s="88">
        <f t="shared" si="0"/>
        <v>5.0129859719438885</v>
      </c>
    </row>
    <row r="38" spans="1:8" ht="36" outlineLevel="4">
      <c r="A38" s="40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2024-2026 годы"</v>
      </c>
      <c r="B38" s="64" t="str">
        <f>'Приложение 3'!C49</f>
        <v>0104</v>
      </c>
      <c r="C38" s="64" t="str">
        <f>'Приложение 3'!D49</f>
        <v>01</v>
      </c>
      <c r="D38" s="64">
        <f>'Приложение 3'!E49</f>
        <v>0</v>
      </c>
      <c r="E38" s="64"/>
      <c r="F38" s="51">
        <f>'Приложение 3'!G49</f>
        <v>50</v>
      </c>
      <c r="G38" s="51">
        <f>'Приложение 3'!H49</f>
        <v>0</v>
      </c>
      <c r="H38" s="88">
        <f t="shared" si="0"/>
        <v>0</v>
      </c>
    </row>
    <row r="39" spans="1:8" ht="27" customHeight="1" outlineLevel="4">
      <c r="A39" s="40" t="str">
        <f>'Приложение 3'!A50</f>
        <v>Закупка товаров, работ и услуг для государственных (муниципальных) нужд</v>
      </c>
      <c r="B39" s="64" t="str">
        <f>'Приложение 3'!C50</f>
        <v>0104</v>
      </c>
      <c r="C39" s="64" t="str">
        <f>'Приложение 3'!D50</f>
        <v>01</v>
      </c>
      <c r="D39" s="64">
        <f>'Приложение 3'!E50</f>
        <v>0</v>
      </c>
      <c r="E39" s="64">
        <f>'Приложение 3'!F50</f>
        <v>200</v>
      </c>
      <c r="F39" s="51">
        <f>'Приложение 3'!G50</f>
        <v>50</v>
      </c>
      <c r="G39" s="51">
        <f>'Приложение 3'!H50</f>
        <v>0</v>
      </c>
      <c r="H39" s="88">
        <f t="shared" si="0"/>
        <v>0</v>
      </c>
    </row>
    <row r="40" spans="1:8" ht="12.75" outlineLevel="4">
      <c r="A40" s="40" t="str">
        <f>'Приложение 3'!A51</f>
        <v>Судебная система</v>
      </c>
      <c r="B40" s="64" t="str">
        <f>'Приложение 3'!C51</f>
        <v>0105</v>
      </c>
      <c r="C40" s="64"/>
      <c r="D40" s="64"/>
      <c r="E40" s="64"/>
      <c r="F40" s="51">
        <f>'Приложение 3'!G51</f>
        <v>2.8</v>
      </c>
      <c r="G40" s="51">
        <f>'Приложение 3'!H51</f>
        <v>0</v>
      </c>
      <c r="H40" s="88">
        <f t="shared" si="0"/>
        <v>0</v>
      </c>
    </row>
    <row r="41" spans="1:8" ht="36" outlineLevel="4">
      <c r="A41" s="40" t="str">
        <f>'Приложение 3'!A52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64" t="str">
        <f>'Приложение 3'!C52</f>
        <v>0105</v>
      </c>
      <c r="C41" s="64" t="str">
        <f>'Приложение 3'!D52</f>
        <v>99</v>
      </c>
      <c r="D41" s="64">
        <f>'Приложение 3'!E52</f>
        <v>0</v>
      </c>
      <c r="E41" s="64"/>
      <c r="F41" s="51">
        <f>'Приложение 3'!G52</f>
        <v>2.8</v>
      </c>
      <c r="G41" s="51">
        <f>'Приложение 3'!H52</f>
        <v>0</v>
      </c>
      <c r="H41" s="88">
        <f t="shared" si="0"/>
        <v>0</v>
      </c>
    </row>
    <row r="42" spans="1:8" ht="24" outlineLevel="4">
      <c r="A42" s="40" t="str">
        <f>'Приложение 3'!A53</f>
        <v>Непрограммные расходы органов местного самоуправления Алексеевского муниципального района</v>
      </c>
      <c r="B42" s="64" t="str">
        <f>'Приложение 3'!C53</f>
        <v>0105</v>
      </c>
      <c r="C42" s="64" t="str">
        <f>'Приложение 3'!D53</f>
        <v>99</v>
      </c>
      <c r="D42" s="64">
        <f>'Приложение 3'!E53</f>
        <v>0</v>
      </c>
      <c r="E42" s="64"/>
      <c r="F42" s="51">
        <f>'Приложение 3'!G53</f>
        <v>2.8</v>
      </c>
      <c r="G42" s="51">
        <f>'Приложение 3'!H53</f>
        <v>0</v>
      </c>
      <c r="H42" s="88">
        <f t="shared" si="0"/>
        <v>0</v>
      </c>
    </row>
    <row r="43" spans="1:8" ht="24" outlineLevel="4">
      <c r="A43" s="40" t="str">
        <f>'Приложение 3'!A54</f>
        <v>Закупка товаров, работ и услуг для государственных (муниципальных) нужд</v>
      </c>
      <c r="B43" s="64" t="str">
        <f>'Приложение 3'!C54</f>
        <v>0105</v>
      </c>
      <c r="C43" s="64" t="str">
        <f>'Приложение 3'!D54</f>
        <v>99</v>
      </c>
      <c r="D43" s="64">
        <f>'Приложение 3'!E54</f>
        <v>0</v>
      </c>
      <c r="E43" s="64">
        <f>'Приложение 3'!F54</f>
        <v>200</v>
      </c>
      <c r="F43" s="51">
        <f>'Приложение 3'!G54</f>
        <v>2.8</v>
      </c>
      <c r="G43" s="51">
        <f>'Приложение 3'!H54</f>
        <v>0</v>
      </c>
      <c r="H43" s="88">
        <f t="shared" si="0"/>
        <v>0</v>
      </c>
    </row>
    <row r="44" spans="1:8" ht="36" outlineLevel="2">
      <c r="A44" s="39" t="str">
        <f>'Приложение 3'!A20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64" t="str">
        <f>'Приложение 3'!C20</f>
        <v>0106</v>
      </c>
      <c r="C44" s="64"/>
      <c r="D44" s="64"/>
      <c r="E44" s="64"/>
      <c r="F44" s="51">
        <f>'Приложение 3'!G19</f>
        <v>1994</v>
      </c>
      <c r="G44" s="51">
        <f>'Приложение 3'!H19</f>
        <v>403.81272</v>
      </c>
      <c r="H44" s="88">
        <f t="shared" si="0"/>
        <v>20.251390170511534</v>
      </c>
    </row>
    <row r="45" spans="1:8" ht="36" outlineLevel="2">
      <c r="A45" s="39" t="str">
        <f>'Приложение 3'!A21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64" t="str">
        <f>'Приложение 3'!C21</f>
        <v>0106</v>
      </c>
      <c r="C45" s="64" t="str">
        <f>'Приложение 3'!D21</f>
        <v>90</v>
      </c>
      <c r="D45" s="64" t="str">
        <f>'Приложение 3'!E21</f>
        <v>0</v>
      </c>
      <c r="E45" s="64"/>
      <c r="F45" s="51">
        <f>'Приложение 3'!G20</f>
        <v>1994</v>
      </c>
      <c r="G45" s="51">
        <f>'Приложение 3'!H20</f>
        <v>403.81272</v>
      </c>
      <c r="H45" s="88">
        <f t="shared" si="0"/>
        <v>20.251390170511534</v>
      </c>
    </row>
    <row r="46" spans="1:8" ht="48" outlineLevel="2">
      <c r="A46" s="39" t="str">
        <f>'Приложение 3'!A22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64" t="str">
        <f>'Приложение 3'!C22</f>
        <v>0106</v>
      </c>
      <c r="C46" s="64" t="str">
        <f>'Приложение 3'!D22</f>
        <v>90</v>
      </c>
      <c r="D46" s="64" t="str">
        <f>'Приложение 3'!E22</f>
        <v>0</v>
      </c>
      <c r="E46" s="64">
        <f>'Приложение 3'!F22</f>
        <v>100</v>
      </c>
      <c r="F46" s="51">
        <f>'Приложение 3'!G22</f>
        <v>1979</v>
      </c>
      <c r="G46" s="51">
        <f>'Приложение 3'!H22</f>
        <v>403.81272</v>
      </c>
      <c r="H46" s="88">
        <f t="shared" si="0"/>
        <v>20.40488731682668</v>
      </c>
    </row>
    <row r="47" spans="1:8" ht="24" outlineLevel="2">
      <c r="A47" s="39" t="str">
        <f>'Приложение 3'!A23</f>
        <v>Закупка товаров, работ и услуг для государственных (муниципальных) нужд</v>
      </c>
      <c r="B47" s="64" t="str">
        <f>'Приложение 3'!C23</f>
        <v>0106</v>
      </c>
      <c r="C47" s="64" t="str">
        <f>'Приложение 3'!D23</f>
        <v>90</v>
      </c>
      <c r="D47" s="64">
        <f>'Приложение 3'!E23</f>
        <v>0</v>
      </c>
      <c r="E47" s="64">
        <f>'Приложение 3'!F23</f>
        <v>200</v>
      </c>
      <c r="F47" s="51">
        <f>'Приложение 3'!G23</f>
        <v>10</v>
      </c>
      <c r="G47" s="51">
        <f>'Приложение 3'!H23</f>
        <v>0</v>
      </c>
      <c r="H47" s="88">
        <f t="shared" si="0"/>
        <v>0</v>
      </c>
    </row>
    <row r="48" spans="1:8" ht="28.5" customHeight="1" outlineLevel="2">
      <c r="A48" s="39" t="str">
        <f>'Приложение 3'!A24</f>
        <v>Непрограммные расходы органов местного самоуправления Алексеевского муниципального района</v>
      </c>
      <c r="B48" s="64" t="str">
        <f>'Приложение 3'!C24</f>
        <v>0106</v>
      </c>
      <c r="C48" s="64" t="str">
        <f>'Приложение 3'!D24</f>
        <v>99</v>
      </c>
      <c r="D48" s="64">
        <f>'Приложение 3'!E24</f>
        <v>0</v>
      </c>
      <c r="E48" s="64"/>
      <c r="F48" s="51">
        <f>'Приложение 3'!G24</f>
        <v>5</v>
      </c>
      <c r="G48" s="51">
        <f>'Приложение 3'!H24</f>
        <v>0</v>
      </c>
      <c r="H48" s="88">
        <f t="shared" si="0"/>
        <v>0</v>
      </c>
    </row>
    <row r="49" spans="1:8" ht="12.75" outlineLevel="2">
      <c r="A49" s="39" t="str">
        <f>'Приложение 3'!A25</f>
        <v>Иные бюджетные ассигнования</v>
      </c>
      <c r="B49" s="64" t="str">
        <f>'Приложение 3'!C25</f>
        <v>0106</v>
      </c>
      <c r="C49" s="64" t="str">
        <f>'Приложение 3'!D25</f>
        <v>99</v>
      </c>
      <c r="D49" s="64">
        <f>'Приложение 3'!E25</f>
        <v>0</v>
      </c>
      <c r="E49" s="64">
        <f>'Приложение 3'!F25</f>
        <v>800</v>
      </c>
      <c r="F49" s="51">
        <f>'Приложение 3'!G25</f>
        <v>5</v>
      </c>
      <c r="G49" s="51">
        <f>'Приложение 3'!H25</f>
        <v>0</v>
      </c>
      <c r="H49" s="88">
        <f t="shared" si="0"/>
        <v>0</v>
      </c>
    </row>
    <row r="50" spans="1:8" ht="1.5" customHeight="1" hidden="1" outlineLevel="2">
      <c r="A50" s="39" t="str">
        <f>'Приложение 3'!A55</f>
        <v>Обеспечение проведения выборов и референдумов</v>
      </c>
      <c r="B50" s="64" t="str">
        <f>'Приложение 3'!C55</f>
        <v>0107</v>
      </c>
      <c r="C50" s="64"/>
      <c r="D50" s="64"/>
      <c r="E50" s="64"/>
      <c r="F50" s="51">
        <f>'Приложение 3'!G55</f>
        <v>0</v>
      </c>
      <c r="G50" s="51">
        <f>'Приложение 3'!H55</f>
        <v>0</v>
      </c>
      <c r="H50" s="88" t="e">
        <f t="shared" si="0"/>
        <v>#DIV/0!</v>
      </c>
    </row>
    <row r="51" spans="1:8" ht="0.75" customHeight="1" hidden="1" outlineLevel="2">
      <c r="A51" s="39" t="str">
        <f>'Приложение 3'!A56</f>
        <v>Проведение выборов и референдумов</v>
      </c>
      <c r="B51" s="64" t="str">
        <f>'Приложение 3'!C56</f>
        <v>0107</v>
      </c>
      <c r="C51" s="64" t="str">
        <f>'Приложение 3'!D56</f>
        <v>99</v>
      </c>
      <c r="D51" s="64" t="str">
        <f>'Приложение 3'!E56</f>
        <v>0</v>
      </c>
      <c r="E51" s="64"/>
      <c r="F51" s="51">
        <f>'Приложение 3'!G56</f>
        <v>0</v>
      </c>
      <c r="G51" s="51">
        <f>'Приложение 3'!H56</f>
        <v>0</v>
      </c>
      <c r="H51" s="88" t="e">
        <f t="shared" si="0"/>
        <v>#DIV/0!</v>
      </c>
    </row>
    <row r="52" spans="1:8" ht="30" customHeight="1" hidden="1" outlineLevel="5">
      <c r="A52" s="39" t="str">
        <f>'Приложение 3'!A57</f>
        <v>Непрограммные расходы органов местного самоуправления Алексеевского муниципального района</v>
      </c>
      <c r="B52" s="64" t="str">
        <f>'Приложение 3'!C57</f>
        <v>0107</v>
      </c>
      <c r="C52" s="64" t="str">
        <f>'Приложение 3'!D57</f>
        <v>99</v>
      </c>
      <c r="D52" s="64" t="str">
        <f>'Приложение 3'!E57</f>
        <v>0</v>
      </c>
      <c r="E52" s="64"/>
      <c r="F52" s="51">
        <f>'Приложение 3'!G57</f>
        <v>0</v>
      </c>
      <c r="G52" s="51">
        <f>'Приложение 3'!H57</f>
        <v>0</v>
      </c>
      <c r="H52" s="88" t="e">
        <f t="shared" si="0"/>
        <v>#DIV/0!</v>
      </c>
    </row>
    <row r="53" spans="1:8" ht="24" hidden="1" outlineLevel="5">
      <c r="A53" s="39" t="str">
        <f>'Приложение 3'!A58</f>
        <v>Закупка товаров, работ и услуг для государственных (муниципальных) нужд</v>
      </c>
      <c r="B53" s="64" t="str">
        <f>'Приложение 3'!C58</f>
        <v>0107</v>
      </c>
      <c r="C53" s="64" t="str">
        <f>'Приложение 3'!D58</f>
        <v>99</v>
      </c>
      <c r="D53" s="64">
        <f>'Приложение 3'!E58</f>
        <v>0</v>
      </c>
      <c r="E53" s="64">
        <f>'Приложение 3'!F58</f>
        <v>200</v>
      </c>
      <c r="F53" s="51">
        <f>'Приложение 3'!G58</f>
        <v>0</v>
      </c>
      <c r="G53" s="51">
        <f>'Приложение 3'!H58</f>
        <v>0</v>
      </c>
      <c r="H53" s="88" t="e">
        <f t="shared" si="0"/>
        <v>#DIV/0!</v>
      </c>
    </row>
    <row r="54" spans="1:8" ht="12.75" outlineLevel="5">
      <c r="A54" s="39" t="str">
        <f>'Приложение 3'!A59</f>
        <v>Резервные фонды</v>
      </c>
      <c r="B54" s="64" t="str">
        <f>'Приложение 3'!C59</f>
        <v>0111</v>
      </c>
      <c r="C54" s="64"/>
      <c r="D54" s="64"/>
      <c r="E54" s="64"/>
      <c r="F54" s="51">
        <f>'Приложение 3'!G59</f>
        <v>320</v>
      </c>
      <c r="G54" s="51">
        <f>'Приложение 3'!H59</f>
        <v>0</v>
      </c>
      <c r="H54" s="88">
        <f t="shared" si="0"/>
        <v>0</v>
      </c>
    </row>
    <row r="55" spans="1:8" ht="28.5" customHeight="1" outlineLevel="1">
      <c r="A55" s="39" t="str">
        <f>'Приложение 3'!A60</f>
        <v>Непрограммные расходы органов местного самоуправления Алексеевского муниципального района</v>
      </c>
      <c r="B55" s="64" t="str">
        <f>'Приложение 3'!C60</f>
        <v>0111</v>
      </c>
      <c r="C55" s="64" t="str">
        <f>'Приложение 3'!D60</f>
        <v>99</v>
      </c>
      <c r="D55" s="64" t="str">
        <f>'Приложение 3'!E60</f>
        <v>0</v>
      </c>
      <c r="E55" s="64"/>
      <c r="F55" s="51">
        <f>'Приложение 3'!G60</f>
        <v>320</v>
      </c>
      <c r="G55" s="51">
        <f>'Приложение 3'!H60</f>
        <v>0</v>
      </c>
      <c r="H55" s="88">
        <f t="shared" si="0"/>
        <v>0</v>
      </c>
    </row>
    <row r="56" spans="1:8" ht="17.25" customHeight="1" outlineLevel="2">
      <c r="A56" s="39" t="str">
        <f>'Приложение 3'!A61</f>
        <v>Иные бюджетные ассигнования</v>
      </c>
      <c r="B56" s="64" t="str">
        <f>'Приложение 3'!C61</f>
        <v>0111</v>
      </c>
      <c r="C56" s="64" t="str">
        <f>'Приложение 3'!D61</f>
        <v>99</v>
      </c>
      <c r="D56" s="64" t="str">
        <f>'Приложение 3'!E61</f>
        <v>0</v>
      </c>
      <c r="E56" s="64">
        <f>'Приложение 3'!F61</f>
        <v>800</v>
      </c>
      <c r="F56" s="51">
        <f>'Приложение 3'!G61</f>
        <v>320</v>
      </c>
      <c r="G56" s="51">
        <f>'Приложение 3'!H61</f>
        <v>0</v>
      </c>
      <c r="H56" s="88">
        <f t="shared" si="0"/>
        <v>0</v>
      </c>
    </row>
    <row r="57" spans="1:8" ht="15" customHeight="1" outlineLevel="2">
      <c r="A57" s="39" t="str">
        <f>'Приложение 3'!A62</f>
        <v>Другие общегосударственные вопросы</v>
      </c>
      <c r="B57" s="64" t="str">
        <f>'Приложение 3'!C62</f>
        <v>0113</v>
      </c>
      <c r="C57" s="64"/>
      <c r="D57" s="64"/>
      <c r="E57" s="64"/>
      <c r="F57" s="51">
        <f>'Приложение 3'!G62</f>
        <v>37165.08487</v>
      </c>
      <c r="G57" s="51">
        <f>'Приложение 3'!H62</f>
        <v>12686.150140000002</v>
      </c>
      <c r="H57" s="88">
        <f t="shared" si="0"/>
        <v>34.134592143069156</v>
      </c>
    </row>
    <row r="58" spans="1:8" ht="37.5" customHeight="1" outlineLevel="2">
      <c r="A58" s="39" t="str">
        <f>'Приложение 3'!A63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64" t="str">
        <f>'Приложение 3'!C63</f>
        <v>0113</v>
      </c>
      <c r="C58" s="64" t="str">
        <f>'Приложение 3'!D63</f>
        <v>02</v>
      </c>
      <c r="D58" s="64">
        <f>'Приложение 3'!E63</f>
        <v>0</v>
      </c>
      <c r="E58" s="64"/>
      <c r="F58" s="51">
        <f>'Приложение 3'!G63</f>
        <v>298</v>
      </c>
      <c r="G58" s="51">
        <f>'Приложение 3'!H63</f>
        <v>154</v>
      </c>
      <c r="H58" s="88">
        <f t="shared" si="0"/>
        <v>51.67785234899329</v>
      </c>
    </row>
    <row r="59" spans="1:8" ht="0.75" customHeight="1" hidden="1" outlineLevel="2">
      <c r="A59" s="39" t="str">
        <f>'Приложение 3'!A64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64" t="str">
        <f>'Приложение 3'!C64</f>
        <v>0113</v>
      </c>
      <c r="C59" s="64" t="str">
        <f>'Приложение 3'!D64</f>
        <v>02</v>
      </c>
      <c r="D59" s="64">
        <f>'Приложение 3'!E64</f>
        <v>3</v>
      </c>
      <c r="E59" s="64"/>
      <c r="F59" s="51">
        <f>'Приложение 3'!G64</f>
        <v>0</v>
      </c>
      <c r="G59" s="51">
        <f>'Приложение 3'!H64</f>
        <v>0</v>
      </c>
      <c r="H59" s="88" t="e">
        <f t="shared" si="0"/>
        <v>#DIV/0!</v>
      </c>
    </row>
    <row r="60" spans="1:8" ht="24" hidden="1" outlineLevel="2">
      <c r="A60" s="39" t="str">
        <f>'Приложение 3'!A65</f>
        <v>Предоставление субсидий бюджетным, автономным учреждениям и иным некоммерческим организациям</v>
      </c>
      <c r="B60" s="64" t="str">
        <f>'Приложение 3'!C65</f>
        <v>0113</v>
      </c>
      <c r="C60" s="64" t="str">
        <f>'Приложение 3'!D65</f>
        <v>02</v>
      </c>
      <c r="D60" s="64">
        <f>'Приложение 3'!E65</f>
        <v>3</v>
      </c>
      <c r="E60" s="64" t="s">
        <v>47</v>
      </c>
      <c r="F60" s="51">
        <f>'Приложение 3'!G65</f>
        <v>0</v>
      </c>
      <c r="G60" s="51">
        <f>'Приложение 3'!H65</f>
        <v>0</v>
      </c>
      <c r="H60" s="88" t="e">
        <f t="shared" si="0"/>
        <v>#DIV/0!</v>
      </c>
    </row>
    <row r="61" spans="1:8" ht="36.75" customHeight="1" outlineLevel="2">
      <c r="A61" s="39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61" s="64" t="str">
        <f>'Приложение 3'!C66</f>
        <v>0113</v>
      </c>
      <c r="C61" s="64" t="str">
        <f>'Приложение 3'!D66</f>
        <v>02</v>
      </c>
      <c r="D61" s="64">
        <f>'Приложение 3'!E66</f>
        <v>4</v>
      </c>
      <c r="E61" s="64"/>
      <c r="F61" s="51">
        <f>'Приложение 3'!G66</f>
        <v>298</v>
      </c>
      <c r="G61" s="51">
        <f>'Приложение 3'!H66</f>
        <v>154</v>
      </c>
      <c r="H61" s="88">
        <f t="shared" si="0"/>
        <v>51.67785234899329</v>
      </c>
    </row>
    <row r="62" spans="1:8" ht="27" customHeight="1" outlineLevel="2">
      <c r="A62" s="39" t="str">
        <f>'Приложение 3'!A67</f>
        <v>Предоставление субсидий бюджетным, автономным учреждениям и иным некоммерческим организациям</v>
      </c>
      <c r="B62" s="64" t="str">
        <f>'Приложение 3'!C67</f>
        <v>0113</v>
      </c>
      <c r="C62" s="64" t="str">
        <f>'Приложение 3'!D67</f>
        <v>02</v>
      </c>
      <c r="D62" s="64">
        <f>'Приложение 3'!E67</f>
        <v>4</v>
      </c>
      <c r="E62" s="64">
        <f>'Приложение 3'!F67</f>
        <v>600</v>
      </c>
      <c r="F62" s="51">
        <f>'Приложение 3'!G67</f>
        <v>298</v>
      </c>
      <c r="G62" s="51">
        <f>'Приложение 3'!H67</f>
        <v>154</v>
      </c>
      <c r="H62" s="88">
        <f t="shared" si="0"/>
        <v>51.67785234899329</v>
      </c>
    </row>
    <row r="63" spans="1:8" ht="55.5" customHeight="1" outlineLevel="2">
      <c r="A63" s="39" t="str">
        <f>'Приложение 3'!A68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63" s="64" t="str">
        <f>'Приложение 3'!C68</f>
        <v>0113</v>
      </c>
      <c r="C63" s="64" t="str">
        <f>'Приложение 3'!D68</f>
        <v>07</v>
      </c>
      <c r="D63" s="64">
        <f>'Приложение 3'!E68</f>
        <v>0</v>
      </c>
      <c r="E63" s="64"/>
      <c r="F63" s="51">
        <f>'Приложение 3'!G68</f>
        <v>139.2</v>
      </c>
      <c r="G63" s="51">
        <f>'Приложение 3'!H68</f>
        <v>0</v>
      </c>
      <c r="H63" s="88">
        <f t="shared" si="0"/>
        <v>0</v>
      </c>
    </row>
    <row r="64" spans="1:8" ht="29.25" customHeight="1" outlineLevel="2">
      <c r="A64" s="39" t="str">
        <f>'Приложение 3'!A69</f>
        <v>Подпрограмма "Реализация мероприятий молодежной политики и социальной адаптации молодежи "</v>
      </c>
      <c r="B64" s="64" t="str">
        <f>'Приложение 3'!C69</f>
        <v>0113</v>
      </c>
      <c r="C64" s="64" t="str">
        <f>'Приложение 3'!D69</f>
        <v>07</v>
      </c>
      <c r="D64" s="64">
        <f>'Приложение 3'!E69</f>
        <v>2</v>
      </c>
      <c r="E64" s="64">
        <f>'Приложение 3'!F69</f>
        <v>0</v>
      </c>
      <c r="F64" s="51">
        <f>'Приложение 3'!G69</f>
        <v>139.2</v>
      </c>
      <c r="G64" s="51">
        <f>'Приложение 3'!H69</f>
        <v>0</v>
      </c>
      <c r="H64" s="88">
        <f t="shared" si="0"/>
        <v>0</v>
      </c>
    </row>
    <row r="65" spans="1:8" ht="74.25" customHeight="1" outlineLevel="2">
      <c r="A65" s="39" t="str">
        <f>'Приложение 3'!A70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по контролю за проведением поисковой работы на территории Волгоградской области)</v>
      </c>
      <c r="B65" s="64" t="str">
        <f>'Приложение 3'!C70</f>
        <v>0113</v>
      </c>
      <c r="C65" s="64" t="str">
        <f>'Приложение 3'!D70</f>
        <v>07</v>
      </c>
      <c r="D65" s="64">
        <f>'Приложение 3'!E70</f>
        <v>2</v>
      </c>
      <c r="E65" s="64">
        <f>'Приложение 3'!F70</f>
        <v>200</v>
      </c>
      <c r="F65" s="51">
        <f>'Приложение 3'!G70</f>
        <v>139.2</v>
      </c>
      <c r="G65" s="51">
        <f>'Приложение 3'!H70</f>
        <v>0</v>
      </c>
      <c r="H65" s="88">
        <f t="shared" si="0"/>
        <v>0</v>
      </c>
    </row>
    <row r="66" spans="1:8" ht="21.75" customHeight="1" outlineLevel="2">
      <c r="A66" s="39" t="str">
        <f>'Приложение 3'!A71</f>
        <v>Муниципальная программа "Маршрут Победы на 2024-2026 годы"</v>
      </c>
      <c r="B66" s="64" t="str">
        <f>'Приложение 3'!C71</f>
        <v>0113</v>
      </c>
      <c r="C66" s="64" t="str">
        <f>'Приложение 3'!D71</f>
        <v>15</v>
      </c>
      <c r="D66" s="64">
        <f>'Приложение 3'!E71</f>
        <v>0</v>
      </c>
      <c r="E66" s="64"/>
      <c r="F66" s="51">
        <f>'Приложение 3'!G71</f>
        <v>220</v>
      </c>
      <c r="G66" s="51">
        <f>'Приложение 3'!H71</f>
        <v>58.135</v>
      </c>
      <c r="H66" s="88">
        <f t="shared" si="0"/>
        <v>26.424999999999997</v>
      </c>
    </row>
    <row r="67" spans="1:8" ht="24" outlineLevel="2">
      <c r="A67" s="39" t="str">
        <f>'Приложение 3'!A72</f>
        <v>Закупка товаров, работ и услуг для государственных (муниципальных) нужд</v>
      </c>
      <c r="B67" s="64" t="str">
        <f>'Приложение 3'!C72</f>
        <v>0113</v>
      </c>
      <c r="C67" s="64" t="str">
        <f>'Приложение 3'!D72</f>
        <v>15</v>
      </c>
      <c r="D67" s="64">
        <f>'Приложение 3'!E72</f>
        <v>0</v>
      </c>
      <c r="E67" s="64">
        <f>'Приложение 3'!F72</f>
        <v>200</v>
      </c>
      <c r="F67" s="51">
        <f>'Приложение 3'!G72</f>
        <v>200</v>
      </c>
      <c r="G67" s="51">
        <f>'Приложение 3'!H72</f>
        <v>58.135</v>
      </c>
      <c r="H67" s="88">
        <f t="shared" si="0"/>
        <v>29.067500000000003</v>
      </c>
    </row>
    <row r="68" spans="1:8" ht="66" customHeight="1" outlineLevel="2">
      <c r="A68" s="39" t="str">
        <f>'Приложение 3'!A73</f>
        <v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по увековечению памяти погибших при защите Отечества на территории Волгоградской области </v>
      </c>
      <c r="B68" s="64" t="str">
        <f>'Приложение 3'!C73</f>
        <v>0113</v>
      </c>
      <c r="C68" s="64" t="str">
        <f>'Приложение 3'!D73</f>
        <v>15</v>
      </c>
      <c r="D68" s="64">
        <f>'Приложение 3'!E73</f>
        <v>0</v>
      </c>
      <c r="E68" s="64">
        <f>'Приложение 3'!F73</f>
        <v>200</v>
      </c>
      <c r="F68" s="51">
        <f>'Приложение 3'!G73</f>
        <v>20</v>
      </c>
      <c r="G68" s="51">
        <f>'Приложение 3'!H73</f>
        <v>0</v>
      </c>
      <c r="H68" s="88">
        <f t="shared" si="0"/>
        <v>0</v>
      </c>
    </row>
    <row r="69" spans="1:8" ht="39" customHeight="1" outlineLevel="2">
      <c r="A69" s="39" t="str">
        <f>'Приложение 3'!A74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2024-2026 годы"</v>
      </c>
      <c r="B69" s="64" t="str">
        <f>'Приложение 3'!C74</f>
        <v>0113</v>
      </c>
      <c r="C69" s="64" t="str">
        <f>'Приложение 3'!D74</f>
        <v>20</v>
      </c>
      <c r="D69" s="64">
        <f>'Приложение 3'!E74</f>
        <v>0</v>
      </c>
      <c r="E69" s="64"/>
      <c r="F69" s="51">
        <f>'Приложение 3'!G74</f>
        <v>50</v>
      </c>
      <c r="G69" s="51">
        <f>'Приложение 3'!H74</f>
        <v>0</v>
      </c>
      <c r="H69" s="88">
        <f t="shared" si="0"/>
        <v>0</v>
      </c>
    </row>
    <row r="70" spans="1:8" ht="19.5" customHeight="1" outlineLevel="2">
      <c r="A70" s="39" t="str">
        <f>'Приложение 3'!A75</f>
        <v>Подпрограмма "Профилактика правонарушений"</v>
      </c>
      <c r="B70" s="64" t="str">
        <f>'Приложение 3'!C75</f>
        <v>0113</v>
      </c>
      <c r="C70" s="64" t="str">
        <f>'Приложение 3'!D75</f>
        <v>20</v>
      </c>
      <c r="D70" s="64">
        <f>'Приложение 3'!E75</f>
        <v>1</v>
      </c>
      <c r="E70" s="64"/>
      <c r="F70" s="51">
        <f>'Приложение 3'!G75</f>
        <v>30</v>
      </c>
      <c r="G70" s="51">
        <f>'Приложение 3'!H75</f>
        <v>0</v>
      </c>
      <c r="H70" s="88">
        <f t="shared" si="0"/>
        <v>0</v>
      </c>
    </row>
    <row r="71" spans="1:8" ht="24" outlineLevel="2">
      <c r="A71" s="39" t="str">
        <f>'Приложение 3'!A76</f>
        <v>Закупка товаров, работ и услуг для государственных (муниципальных) нужд</v>
      </c>
      <c r="B71" s="64" t="str">
        <f>'Приложение 3'!C76</f>
        <v>0113</v>
      </c>
      <c r="C71" s="64" t="str">
        <f>'Приложение 3'!D76</f>
        <v>20</v>
      </c>
      <c r="D71" s="64">
        <f>'Приложение 3'!E76</f>
        <v>1</v>
      </c>
      <c r="E71" s="64">
        <f>'Приложение 3'!F76</f>
        <v>200</v>
      </c>
      <c r="F71" s="51">
        <f>'Приложение 3'!G76</f>
        <v>30</v>
      </c>
      <c r="G71" s="51">
        <f>'Приложение 3'!H76</f>
        <v>0</v>
      </c>
      <c r="H71" s="88">
        <f t="shared" si="0"/>
        <v>0</v>
      </c>
    </row>
    <row r="72" spans="1:8" ht="24" outlineLevel="2">
      <c r="A72" s="39" t="str">
        <f>'Приложение 3'!A77</f>
        <v>Подпрограмма "Формирование законопослушного поведения участников дорожного движения"</v>
      </c>
      <c r="B72" s="64" t="str">
        <f>'Приложение 3'!C77</f>
        <v>0113</v>
      </c>
      <c r="C72" s="64" t="str">
        <f>'Приложение 3'!D77</f>
        <v>20</v>
      </c>
      <c r="D72" s="64">
        <f>'Приложение 3'!E77</f>
        <v>2</v>
      </c>
      <c r="E72" s="64"/>
      <c r="F72" s="51">
        <f>'Приложение 3'!G77</f>
        <v>20</v>
      </c>
      <c r="G72" s="51">
        <f>'Приложение 3'!H77</f>
        <v>0</v>
      </c>
      <c r="H72" s="88">
        <f t="shared" si="0"/>
        <v>0</v>
      </c>
    </row>
    <row r="73" spans="1:8" ht="24" outlineLevel="2">
      <c r="A73" s="39" t="str">
        <f>'Приложение 3'!A78</f>
        <v>Закупка товаров, работ и услуг для государственных (муниципальных) нужд</v>
      </c>
      <c r="B73" s="64" t="str">
        <f>'Приложение 3'!C78</f>
        <v>0113</v>
      </c>
      <c r="C73" s="64" t="str">
        <f>'Приложение 3'!D78</f>
        <v>20</v>
      </c>
      <c r="D73" s="64">
        <f>'Приложение 3'!E78</f>
        <v>2</v>
      </c>
      <c r="E73" s="64">
        <f>'Приложение 3'!F78</f>
        <v>200</v>
      </c>
      <c r="F73" s="51">
        <f>'Приложение 3'!G78</f>
        <v>20</v>
      </c>
      <c r="G73" s="51">
        <f>'Приложение 3'!H78</f>
        <v>0</v>
      </c>
      <c r="H73" s="88">
        <f t="shared" si="0"/>
        <v>0</v>
      </c>
    </row>
    <row r="74" spans="1:8" ht="36" hidden="1" outlineLevel="2">
      <c r="A74" s="39" t="str">
        <f>'Приложение 3'!A79</f>
        <v>Муниципальная программа "Улучшение условий и охраны труда в Алексеевском муниципальном районе на 2017-2019 годы"</v>
      </c>
      <c r="B74" s="64" t="str">
        <f>'Приложение 3'!C79</f>
        <v>0113</v>
      </c>
      <c r="C74" s="64" t="str">
        <f>'Приложение 3'!D79</f>
        <v>21</v>
      </c>
      <c r="D74" s="64">
        <f>'Приложение 3'!E79</f>
        <v>0</v>
      </c>
      <c r="E74" s="64"/>
      <c r="F74" s="51">
        <f>'Приложение 3'!G79</f>
        <v>0</v>
      </c>
      <c r="G74" s="51">
        <f>'Приложение 3'!H79</f>
        <v>0</v>
      </c>
      <c r="H74" s="88" t="e">
        <f aca="true" t="shared" si="1" ref="H74:H137">SUM(G74/F74)*100</f>
        <v>#DIV/0!</v>
      </c>
    </row>
    <row r="75" spans="1:8" ht="24" hidden="1" outlineLevel="2">
      <c r="A75" s="39" t="str">
        <f>'Приложение 3'!A80</f>
        <v>Закупка товаров, работ и услуг для государственных (муниципальных) нужд</v>
      </c>
      <c r="B75" s="64" t="str">
        <f>'Приложение 3'!C80</f>
        <v>0113</v>
      </c>
      <c r="C75" s="64" t="str">
        <f>'Приложение 3'!D80</f>
        <v>21</v>
      </c>
      <c r="D75" s="64">
        <f>'Приложение 3'!E80</f>
        <v>0</v>
      </c>
      <c r="E75" s="64">
        <f>'Приложение 3'!F80</f>
        <v>200</v>
      </c>
      <c r="F75" s="51">
        <f>'Приложение 3'!G80</f>
        <v>0</v>
      </c>
      <c r="G75" s="51">
        <f>'Приложение 3'!H80</f>
        <v>0</v>
      </c>
      <c r="H75" s="88" t="e">
        <f t="shared" si="1"/>
        <v>#DIV/0!</v>
      </c>
    </row>
    <row r="76" spans="1:8" ht="36" outlineLevel="2">
      <c r="A76" s="39" t="str">
        <f>'Приложение 3'!A81</f>
        <v>Муниципальная программа "Профилактика терроризма и экстремизма на территории Алексеевского муниципального района на 2024-2026 годы"</v>
      </c>
      <c r="B76" s="64" t="str">
        <f>'Приложение 3'!C81</f>
        <v>0113</v>
      </c>
      <c r="C76" s="64" t="str">
        <f>'Приложение 3'!D81</f>
        <v>23</v>
      </c>
      <c r="D76" s="64">
        <f>'Приложение 3'!E81</f>
        <v>0</v>
      </c>
      <c r="E76" s="64"/>
      <c r="F76" s="51">
        <f>'Приложение 3'!G81</f>
        <v>20</v>
      </c>
      <c r="G76" s="51">
        <f>'Приложение 3'!H81</f>
        <v>0</v>
      </c>
      <c r="H76" s="88">
        <f t="shared" si="1"/>
        <v>0</v>
      </c>
    </row>
    <row r="77" spans="1:8" ht="24" outlineLevel="2">
      <c r="A77" s="39" t="str">
        <f>'Приложение 3'!A82</f>
        <v>Закупка товаров, работ и услуг для государственных (муниципальных) нужд</v>
      </c>
      <c r="B77" s="64" t="str">
        <f>'Приложение 3'!C82</f>
        <v>0113</v>
      </c>
      <c r="C77" s="64" t="str">
        <f>'Приложение 3'!D82</f>
        <v>23</v>
      </c>
      <c r="D77" s="64">
        <f>'Приложение 3'!E82</f>
        <v>0</v>
      </c>
      <c r="E77" s="64">
        <f>'Приложение 3'!F82</f>
        <v>200</v>
      </c>
      <c r="F77" s="51">
        <f>'Приложение 3'!G82</f>
        <v>20</v>
      </c>
      <c r="G77" s="51">
        <f>'Приложение 3'!H82</f>
        <v>0</v>
      </c>
      <c r="H77" s="88">
        <f t="shared" si="1"/>
        <v>0</v>
      </c>
    </row>
    <row r="78" spans="1:8" ht="60" outlineLevel="2">
      <c r="A78" s="39" t="str">
        <f>'Приложение 3'!A83</f>
        <v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v>
      </c>
      <c r="B78" s="64" t="str">
        <f>'Приложение 3'!C83</f>
        <v>0113</v>
      </c>
      <c r="C78" s="64" t="str">
        <f>'Приложение 3'!D83</f>
        <v>51</v>
      </c>
      <c r="D78" s="64">
        <f>'Приложение 3'!E83</f>
        <v>0</v>
      </c>
      <c r="E78" s="64"/>
      <c r="F78" s="51">
        <f>'Приложение 3'!G83</f>
        <v>32000</v>
      </c>
      <c r="G78" s="51">
        <f>'Приложение 3'!H83</f>
        <v>12112.84279</v>
      </c>
      <c r="H78" s="88">
        <f t="shared" si="1"/>
        <v>37.85263371875</v>
      </c>
    </row>
    <row r="79" spans="1:8" ht="24" outlineLevel="2">
      <c r="A79" s="39" t="str">
        <f>'Приложение 3'!A84</f>
        <v>Предоставление субсидий бюджетным, автономным учреждениям и иным некоммерческим организациям</v>
      </c>
      <c r="B79" s="64" t="str">
        <f>'Приложение 3'!C84</f>
        <v>0113</v>
      </c>
      <c r="C79" s="64" t="str">
        <f>'Приложение 3'!D84</f>
        <v>51</v>
      </c>
      <c r="D79" s="64">
        <f>'Приложение 3'!E84</f>
        <v>0</v>
      </c>
      <c r="E79" s="64">
        <f>'Приложение 3'!F84</f>
        <v>600</v>
      </c>
      <c r="F79" s="51">
        <f>'Приложение 3'!G84</f>
        <v>32000</v>
      </c>
      <c r="G79" s="51">
        <f>'Приложение 3'!H84</f>
        <v>12112.84279</v>
      </c>
      <c r="H79" s="88">
        <f t="shared" si="1"/>
        <v>37.85263371875</v>
      </c>
    </row>
    <row r="80" spans="1:8" ht="12.75" outlineLevel="2">
      <c r="A80" s="39" t="str">
        <f>'Приложение 3'!A85</f>
        <v>Государственная регистрация актов гражданского состояния</v>
      </c>
      <c r="B80" s="64" t="str">
        <f>'Приложение 3'!C85</f>
        <v>0113</v>
      </c>
      <c r="C80" s="64">
        <f>'Приложение 3'!D85</f>
        <v>0</v>
      </c>
      <c r="D80" s="64">
        <f>'Приложение 3'!E85</f>
        <v>0</v>
      </c>
      <c r="E80" s="64"/>
      <c r="F80" s="51">
        <f>'Приложение 3'!G85</f>
        <v>585.2</v>
      </c>
      <c r="G80" s="51">
        <f>'Приложение 3'!H85</f>
        <v>270</v>
      </c>
      <c r="H80" s="88">
        <f t="shared" si="1"/>
        <v>46.13807245386192</v>
      </c>
    </row>
    <row r="81" spans="1:8" ht="36" outlineLevel="2">
      <c r="A81" s="39" t="str">
        <f>'Приложение 3'!A86</f>
        <v>Непрограммные направления обеспечения деятельности органов местного самоуправления Алексеевского муниципального района</v>
      </c>
      <c r="B81" s="64" t="str">
        <f>'Приложение 3'!C86</f>
        <v>0113</v>
      </c>
      <c r="C81" s="64" t="str">
        <f>'Приложение 3'!D86</f>
        <v>90</v>
      </c>
      <c r="D81" s="64">
        <f>'Приложение 3'!E86</f>
        <v>0</v>
      </c>
      <c r="E81" s="64"/>
      <c r="F81" s="51">
        <f>'Приложение 3'!G86</f>
        <v>585.2</v>
      </c>
      <c r="G81" s="51">
        <f>'Приложение 3'!H86</f>
        <v>270</v>
      </c>
      <c r="H81" s="88">
        <f t="shared" si="1"/>
        <v>46.13807245386192</v>
      </c>
    </row>
    <row r="82" spans="1:8" ht="48" outlineLevel="2">
      <c r="A82" s="39" t="str">
        <f>'Приложение 3'!A87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2" s="64" t="str">
        <f>'Приложение 3'!C87</f>
        <v>0113</v>
      </c>
      <c r="C82" s="64" t="str">
        <f>'Приложение 3'!D87</f>
        <v>90</v>
      </c>
      <c r="D82" s="64" t="str">
        <f>'Приложение 3'!E87</f>
        <v>0</v>
      </c>
      <c r="E82" s="64">
        <f>'Приложение 3'!F87</f>
        <v>100</v>
      </c>
      <c r="F82" s="51">
        <f>'Приложение 3'!G87</f>
        <v>535.2</v>
      </c>
      <c r="G82" s="51">
        <f>'Приложение 3'!H87</f>
        <v>270</v>
      </c>
      <c r="H82" s="88">
        <f t="shared" si="1"/>
        <v>50.448430493273534</v>
      </c>
    </row>
    <row r="83" spans="1:8" ht="24" outlineLevel="2">
      <c r="A83" s="39" t="str">
        <f>'Приложение 3'!A88</f>
        <v>Закупка товаров, работ и услуг для государственных (муниципальных) нужд</v>
      </c>
      <c r="B83" s="64" t="str">
        <f>'Приложение 3'!C88</f>
        <v>0113</v>
      </c>
      <c r="C83" s="64" t="str">
        <f>'Приложение 3'!D88</f>
        <v>90</v>
      </c>
      <c r="D83" s="64" t="str">
        <f>'Приложение 3'!E88</f>
        <v>0</v>
      </c>
      <c r="E83" s="64">
        <f>'Приложение 3'!F88</f>
        <v>200</v>
      </c>
      <c r="F83" s="51">
        <f>'Приложение 3'!G88</f>
        <v>50</v>
      </c>
      <c r="G83" s="51">
        <f>'Приложение 3'!H88</f>
        <v>0</v>
      </c>
      <c r="H83" s="88">
        <f t="shared" si="1"/>
        <v>0</v>
      </c>
    </row>
    <row r="84" spans="1:8" ht="26.25" customHeight="1" outlineLevel="2">
      <c r="A84" s="39" t="str">
        <f>'Приложение 3'!A89</f>
        <v>Оценка недвижимости, признание прав и регулирование отношений по муниципальной собственности</v>
      </c>
      <c r="B84" s="64" t="str">
        <f>'Приложение 3'!C89</f>
        <v>0113</v>
      </c>
      <c r="C84" s="64" t="str">
        <f>'Приложение 3'!D89</f>
        <v>99</v>
      </c>
      <c r="D84" s="64">
        <f>'Приложение 3'!E89</f>
        <v>0</v>
      </c>
      <c r="E84" s="64"/>
      <c r="F84" s="51">
        <f>'Приложение 3'!G89</f>
        <v>100</v>
      </c>
      <c r="G84" s="51">
        <f>'Приложение 3'!H89</f>
        <v>0</v>
      </c>
      <c r="H84" s="88">
        <f t="shared" si="1"/>
        <v>0</v>
      </c>
    </row>
    <row r="85" spans="1:8" ht="24.75" customHeight="1" outlineLevel="2">
      <c r="A85" s="39" t="str">
        <f>'Приложение 3'!A90</f>
        <v>Непрограммные расходы органов местного самоуправления Алексеевского муниципального района</v>
      </c>
      <c r="B85" s="64" t="str">
        <f>'Приложение 3'!C90</f>
        <v>0113</v>
      </c>
      <c r="C85" s="64" t="str">
        <f>'Приложение 3'!D90</f>
        <v>99</v>
      </c>
      <c r="D85" s="64" t="str">
        <f>'Приложение 3'!E90</f>
        <v>0</v>
      </c>
      <c r="E85" s="64"/>
      <c r="F85" s="51">
        <f>'Приложение 3'!G90</f>
        <v>100</v>
      </c>
      <c r="G85" s="51">
        <f>'Приложение 3'!H90</f>
        <v>0</v>
      </c>
      <c r="H85" s="88">
        <f t="shared" si="1"/>
        <v>0</v>
      </c>
    </row>
    <row r="86" spans="1:8" ht="24.75" customHeight="1" outlineLevel="2">
      <c r="A86" s="39" t="str">
        <f>'Приложение 3'!A91</f>
        <v>Закупка товаров, работ и услуг для государственных (муниципальных) нужд</v>
      </c>
      <c r="B86" s="64" t="str">
        <f>'Приложение 3'!C91</f>
        <v>0113</v>
      </c>
      <c r="C86" s="64" t="str">
        <f>'Приложение 3'!D91</f>
        <v>99</v>
      </c>
      <c r="D86" s="64" t="str">
        <f>'Приложение 3'!E91</f>
        <v>0</v>
      </c>
      <c r="E86" s="64">
        <f>'Приложение 3'!F91</f>
        <v>200</v>
      </c>
      <c r="F86" s="51">
        <f>'Приложение 3'!G91</f>
        <v>100</v>
      </c>
      <c r="G86" s="51">
        <f>'Приложение 3'!H91</f>
        <v>0</v>
      </c>
      <c r="H86" s="88">
        <f t="shared" si="1"/>
        <v>0</v>
      </c>
    </row>
    <row r="87" spans="1:8" ht="24" outlineLevel="5">
      <c r="A87" s="39" t="str">
        <f>'Приложение 3'!A92</f>
        <v>Реализация государственных функций, связанных с общегосударственным управлением</v>
      </c>
      <c r="B87" s="64" t="str">
        <f>'Приложение 3'!C92</f>
        <v>0113</v>
      </c>
      <c r="C87" s="64" t="str">
        <f>'Приложение 3'!D92</f>
        <v>99</v>
      </c>
      <c r="D87" s="64">
        <f>'Приложение 3'!E92</f>
        <v>0</v>
      </c>
      <c r="E87" s="64"/>
      <c r="F87" s="51">
        <f>'Приложение 3'!G92</f>
        <v>3752.684869999999</v>
      </c>
      <c r="G87" s="51">
        <f>'Приложение 3'!H92</f>
        <v>91.17235</v>
      </c>
      <c r="H87" s="88">
        <f t="shared" si="1"/>
        <v>2.429523212270153</v>
      </c>
    </row>
    <row r="88" spans="1:8" ht="25.5" customHeight="1" outlineLevel="5">
      <c r="A88" s="39" t="str">
        <f>'Приложение 3'!A93</f>
        <v>Непрограммные расходы органов местного самоуправления Алексеевского муниципального района</v>
      </c>
      <c r="B88" s="64" t="str">
        <f>'Приложение 3'!C93</f>
        <v>0113</v>
      </c>
      <c r="C88" s="64" t="str">
        <f>'Приложение 3'!D93</f>
        <v>99</v>
      </c>
      <c r="D88" s="64" t="str">
        <f>'Приложение 3'!E93</f>
        <v>0</v>
      </c>
      <c r="E88" s="64"/>
      <c r="F88" s="51">
        <f>'Приложение 3'!G93</f>
        <v>3752.684869999999</v>
      </c>
      <c r="G88" s="51">
        <f>'Приложение 3'!H93</f>
        <v>91.17235</v>
      </c>
      <c r="H88" s="88">
        <f t="shared" si="1"/>
        <v>2.429523212270153</v>
      </c>
    </row>
    <row r="89" spans="1:8" ht="25.5" customHeight="1" outlineLevel="5">
      <c r="A89" s="39" t="str">
        <f>'Приложение 3'!A94</f>
        <v>Закупка товаров, работ и услуг для государственных (муниципальных) нужд</v>
      </c>
      <c r="B89" s="64" t="str">
        <f>'Приложение 3'!C94</f>
        <v>0113</v>
      </c>
      <c r="C89" s="64" t="str">
        <f>'Приложение 3'!D94</f>
        <v>99</v>
      </c>
      <c r="D89" s="64">
        <f>'Приложение 3'!E94</f>
        <v>0</v>
      </c>
      <c r="E89" s="64"/>
      <c r="F89" s="51">
        <f>'Приложение 3'!G94</f>
        <v>2152.684869999999</v>
      </c>
      <c r="G89" s="51">
        <f>'Приложение 3'!H94</f>
        <v>85.05108</v>
      </c>
      <c r="H89" s="88">
        <f t="shared" si="1"/>
        <v>3.9509303560999167</v>
      </c>
    </row>
    <row r="90" spans="1:8" ht="12.75" outlineLevel="5">
      <c r="A90" s="39" t="str">
        <f>'Приложение 3'!A95</f>
        <v>Иные бюджетные ассигнования</v>
      </c>
      <c r="B90" s="64" t="str">
        <f>'Приложение 3'!C95</f>
        <v>0113</v>
      </c>
      <c r="C90" s="64" t="str">
        <f>'Приложение 3'!D95</f>
        <v>99</v>
      </c>
      <c r="D90" s="64">
        <f>'Приложение 3'!E95</f>
        <v>0</v>
      </c>
      <c r="E90" s="64">
        <f>'Приложение 3'!F95</f>
        <v>800</v>
      </c>
      <c r="F90" s="51">
        <f>'Приложение 3'!G95</f>
        <v>1600</v>
      </c>
      <c r="G90" s="51">
        <f>'Приложение 3'!H95</f>
        <v>6.12127</v>
      </c>
      <c r="H90" s="88">
        <f t="shared" si="1"/>
        <v>0.382579375</v>
      </c>
    </row>
    <row r="91" spans="1:8" ht="24" hidden="1" outlineLevel="5">
      <c r="A91" s="39" t="str">
        <f>'Приложение 3'!A96</f>
        <v>Осуществление полномочий по подготовке и проведению Всероссийской переписи населения 2020 года на 2021 год</v>
      </c>
      <c r="B91" s="64" t="str">
        <f>'Приложение 3'!C96</f>
        <v>0113</v>
      </c>
      <c r="C91" s="64" t="str">
        <f>'Приложение 3'!D96</f>
        <v>99</v>
      </c>
      <c r="D91" s="64">
        <f>'Приложение 3'!E96</f>
        <v>0</v>
      </c>
      <c r="E91" s="64"/>
      <c r="F91" s="51">
        <f>'Приложение 3'!G96</f>
        <v>0</v>
      </c>
      <c r="G91" s="51">
        <f>'Приложение 3'!H96</f>
        <v>0</v>
      </c>
      <c r="H91" s="88" t="e">
        <f t="shared" si="1"/>
        <v>#DIV/0!</v>
      </c>
    </row>
    <row r="92" spans="1:8" ht="24" hidden="1" outlineLevel="5">
      <c r="A92" s="39" t="str">
        <f>'Приложение 3'!A97</f>
        <v>Непрограммные расходы органов местного самоуправления Алексеевского муниципального района</v>
      </c>
      <c r="B92" s="64" t="str">
        <f>'Приложение 3'!C97</f>
        <v>0113</v>
      </c>
      <c r="C92" s="64" t="str">
        <f>'Приложение 3'!D97</f>
        <v>99</v>
      </c>
      <c r="D92" s="64" t="str">
        <f>'Приложение 3'!E97</f>
        <v>0</v>
      </c>
      <c r="E92" s="64"/>
      <c r="F92" s="51">
        <f>'Приложение 3'!G97</f>
        <v>0</v>
      </c>
      <c r="G92" s="51">
        <f>'Приложение 3'!H97</f>
        <v>0</v>
      </c>
      <c r="H92" s="88" t="e">
        <f t="shared" si="1"/>
        <v>#DIV/0!</v>
      </c>
    </row>
    <row r="93" spans="1:8" ht="24" hidden="1" outlineLevel="5">
      <c r="A93" s="39" t="str">
        <f>'Приложение 3'!A98</f>
        <v>Закупка товаров, работ и услуг для государственных (муниципальных) нужд</v>
      </c>
      <c r="B93" s="64" t="str">
        <f>'Приложение 3'!C98</f>
        <v>0113</v>
      </c>
      <c r="C93" s="64" t="str">
        <f>'Приложение 3'!D98</f>
        <v>99</v>
      </c>
      <c r="D93" s="64">
        <f>'Приложение 3'!E98</f>
        <v>0</v>
      </c>
      <c r="E93" s="64">
        <f>'Приложение 3'!F98</f>
        <v>200</v>
      </c>
      <c r="F93" s="51">
        <f>'Приложение 3'!G98</f>
        <v>0</v>
      </c>
      <c r="G93" s="51">
        <f>'Приложение 3'!H98</f>
        <v>0</v>
      </c>
      <c r="H93" s="88" t="e">
        <f t="shared" si="1"/>
        <v>#DIV/0!</v>
      </c>
    </row>
    <row r="94" spans="1:8" ht="12.75" outlineLevel="5">
      <c r="A94" s="39" t="str">
        <f>'Приложение 3'!A99</f>
        <v>Условно утвержденные расходы</v>
      </c>
      <c r="B94" s="64" t="str">
        <f>'Приложение 3'!C99</f>
        <v>0113</v>
      </c>
      <c r="C94" s="64" t="str">
        <f>'Приложение 3'!D99</f>
        <v>99</v>
      </c>
      <c r="D94" s="64">
        <f>'Приложение 3'!E99</f>
        <v>0</v>
      </c>
      <c r="E94" s="64" t="s">
        <v>22</v>
      </c>
      <c r="F94" s="51">
        <f>'Приложение 3'!G99</f>
        <v>0</v>
      </c>
      <c r="G94" s="51">
        <f>'Приложение 3'!H99</f>
        <v>0</v>
      </c>
      <c r="H94" s="88" t="e">
        <f t="shared" si="1"/>
        <v>#DIV/0!</v>
      </c>
    </row>
    <row r="95" spans="1:8" ht="12.75" outlineLevel="5">
      <c r="A95" s="39" t="str">
        <f>'Приложение 3'!A100</f>
        <v>Национальная оборона </v>
      </c>
      <c r="B95" s="64" t="str">
        <f>'Приложение 3'!C100</f>
        <v>0200</v>
      </c>
      <c r="C95" s="64"/>
      <c r="D95" s="64"/>
      <c r="E95" s="64"/>
      <c r="F95" s="51">
        <f>'Приложение 3'!G100</f>
        <v>414.2</v>
      </c>
      <c r="G95" s="51">
        <f>'Приложение 3'!H100</f>
        <v>118.26</v>
      </c>
      <c r="H95" s="88">
        <f t="shared" si="1"/>
        <v>28.551424432641237</v>
      </c>
    </row>
    <row r="96" spans="1:8" ht="12.75" outlineLevel="5">
      <c r="A96" s="39" t="str">
        <f>'Приложение 3'!A101</f>
        <v>Мобилизационная подготовка экономики</v>
      </c>
      <c r="B96" s="64" t="str">
        <f>'Приложение 3'!C101</f>
        <v>0204</v>
      </c>
      <c r="C96" s="64"/>
      <c r="D96" s="64"/>
      <c r="E96" s="64"/>
      <c r="F96" s="51">
        <f>'Приложение 3'!G101</f>
        <v>414.2</v>
      </c>
      <c r="G96" s="51">
        <f>'Приложение 3'!H101</f>
        <v>118.26</v>
      </c>
      <c r="H96" s="88">
        <f t="shared" si="1"/>
        <v>28.551424432641237</v>
      </c>
    </row>
    <row r="97" spans="1:8" ht="24" outlineLevel="2">
      <c r="A97" s="39" t="str">
        <f>'Приложение 3'!A102</f>
        <v>Мероприятия по обеспечению мобилизационной готовности экономики</v>
      </c>
      <c r="B97" s="64" t="str">
        <f>'Приложение 3'!C102</f>
        <v>0204</v>
      </c>
      <c r="C97" s="64"/>
      <c r="D97" s="64"/>
      <c r="E97" s="64"/>
      <c r="F97" s="51">
        <f>'Приложение 3'!G102</f>
        <v>414.2</v>
      </c>
      <c r="G97" s="51">
        <f>'Приложение 3'!H102</f>
        <v>118.26</v>
      </c>
      <c r="H97" s="88">
        <f t="shared" si="1"/>
        <v>28.551424432641237</v>
      </c>
    </row>
    <row r="98" spans="1:8" ht="24.75" customHeight="1" outlineLevel="5">
      <c r="A98" s="39" t="str">
        <f>'Приложение 3'!A103</f>
        <v>Непрограммные расходы органов местного самоуправления Алексеевского муниципального района</v>
      </c>
      <c r="B98" s="64" t="str">
        <f>'Приложение 3'!C103</f>
        <v>0204</v>
      </c>
      <c r="C98" s="64" t="str">
        <f>'Приложение 3'!D103</f>
        <v>99</v>
      </c>
      <c r="D98" s="64">
        <f>'Приложение 3'!E103</f>
        <v>0</v>
      </c>
      <c r="E98" s="64"/>
      <c r="F98" s="51">
        <f>'Приложение 3'!G103</f>
        <v>414.2</v>
      </c>
      <c r="G98" s="51">
        <f>'Приложение 3'!H103</f>
        <v>118.26</v>
      </c>
      <c r="H98" s="88">
        <f t="shared" si="1"/>
        <v>28.551424432641237</v>
      </c>
    </row>
    <row r="99" spans="1:8" ht="24.75" customHeight="1" outlineLevel="5">
      <c r="A99" s="39" t="str">
        <f>'Приложение 3'!A104</f>
        <v>Закупка товаров, работ и услуг для государственных (муниципальных) нужд</v>
      </c>
      <c r="B99" s="64" t="str">
        <f>'Приложение 3'!C104</f>
        <v>0204</v>
      </c>
      <c r="C99" s="64" t="str">
        <f>'Приложение 3'!D104</f>
        <v>99</v>
      </c>
      <c r="D99" s="64">
        <f>'Приложение 3'!E104</f>
        <v>0</v>
      </c>
      <c r="E99" s="64">
        <f>'Приложение 3'!F104</f>
        <v>200</v>
      </c>
      <c r="F99" s="51">
        <f>'Приложение 3'!G104</f>
        <v>414.2</v>
      </c>
      <c r="G99" s="51">
        <f>'Приложение 3'!H104</f>
        <v>118.26</v>
      </c>
      <c r="H99" s="88">
        <f t="shared" si="1"/>
        <v>28.551424432641237</v>
      </c>
    </row>
    <row r="100" spans="1:8" ht="24" outlineLevel="5">
      <c r="A100" s="39" t="str">
        <f>'Приложение 3'!A105</f>
        <v>Национальная безопасность и правоохранительная деятельность</v>
      </c>
      <c r="B100" s="64" t="str">
        <f>'Приложение 3'!C105</f>
        <v>0300</v>
      </c>
      <c r="C100" s="64"/>
      <c r="D100" s="64"/>
      <c r="E100" s="64"/>
      <c r="F100" s="51">
        <f>'Приложение 3'!G105</f>
        <v>70</v>
      </c>
      <c r="G100" s="51">
        <f>'Приложение 3'!H105</f>
        <v>0</v>
      </c>
      <c r="H100" s="88">
        <f t="shared" si="1"/>
        <v>0</v>
      </c>
    </row>
    <row r="101" spans="1:8" ht="12.75" outlineLevel="5">
      <c r="A101" s="39" t="str">
        <f>'Приложение 3'!A106</f>
        <v>Гражданская оборона</v>
      </c>
      <c r="B101" s="64" t="str">
        <f>'Приложение 3'!C106</f>
        <v>0309</v>
      </c>
      <c r="C101" s="64"/>
      <c r="D101" s="64"/>
      <c r="E101" s="64"/>
      <c r="F101" s="51">
        <f>'Приложение 3'!G106</f>
        <v>20</v>
      </c>
      <c r="G101" s="51">
        <f>'Приложение 3'!H106</f>
        <v>0</v>
      </c>
      <c r="H101" s="88">
        <f t="shared" si="1"/>
        <v>0</v>
      </c>
    </row>
    <row r="102" spans="1:8" ht="24" outlineLevel="5">
      <c r="A102" s="39" t="str">
        <f>'Приложение 3'!A107</f>
        <v>Непрограммные расходы органов местного самоуправления Алексеевского муниципального района</v>
      </c>
      <c r="B102" s="64" t="str">
        <f>'Приложение 3'!C107</f>
        <v>0309</v>
      </c>
      <c r="C102" s="64" t="str">
        <f>'Приложение 3'!D107</f>
        <v>99</v>
      </c>
      <c r="D102" s="64">
        <f>'Приложение 3'!E107</f>
        <v>0</v>
      </c>
      <c r="E102" s="64"/>
      <c r="F102" s="51">
        <f>'Приложение 3'!G107</f>
        <v>20</v>
      </c>
      <c r="G102" s="51">
        <f>'Приложение 3'!H107</f>
        <v>0</v>
      </c>
      <c r="H102" s="88">
        <f t="shared" si="1"/>
        <v>0</v>
      </c>
    </row>
    <row r="103" spans="1:8" ht="24" outlineLevel="5">
      <c r="A103" s="39" t="str">
        <f>'Приложение 3'!A108</f>
        <v>Закупка товаров, работ и услуг для государственных (муниципальных) нужд</v>
      </c>
      <c r="B103" s="64" t="str">
        <f>'Приложение 3'!C108</f>
        <v>0309</v>
      </c>
      <c r="C103" s="64" t="str">
        <f>'Приложение 3'!D108</f>
        <v>99</v>
      </c>
      <c r="D103" s="64">
        <f>'Приложение 3'!E108</f>
        <v>0</v>
      </c>
      <c r="E103" s="64">
        <f>'Приложение 3'!F108</f>
        <v>200</v>
      </c>
      <c r="F103" s="51">
        <f>'Приложение 3'!G108</f>
        <v>20</v>
      </c>
      <c r="G103" s="51">
        <f>'Приложение 3'!H108</f>
        <v>0</v>
      </c>
      <c r="H103" s="88">
        <f t="shared" si="1"/>
        <v>0</v>
      </c>
    </row>
    <row r="104" spans="1:8" ht="31.5" customHeight="1" outlineLevel="2">
      <c r="A104" s="39" t="str">
        <f>'Приложение 3'!A109</f>
        <v>Защита населения и территории от чрезвычайных ситуаций природного и техногенного характера, пожарная безопасность</v>
      </c>
      <c r="B104" s="64" t="str">
        <f>'Приложение 3'!C109</f>
        <v>0310</v>
      </c>
      <c r="C104" s="64"/>
      <c r="D104" s="64"/>
      <c r="E104" s="64"/>
      <c r="F104" s="51">
        <f>'Приложение 3'!G109</f>
        <v>50</v>
      </c>
      <c r="G104" s="51">
        <f>'Приложение 3'!H109</f>
        <v>0</v>
      </c>
      <c r="H104" s="88">
        <f t="shared" si="1"/>
        <v>0</v>
      </c>
    </row>
    <row r="105" spans="1:8" ht="28.5" customHeight="1" outlineLevel="5">
      <c r="A105" s="39" t="str">
        <f>'Приложение 3'!A110</f>
        <v>Непрограммные расходы органов местного самоуправления Алексеевского муниципального района</v>
      </c>
      <c r="B105" s="64" t="str">
        <f>'Приложение 3'!C110</f>
        <v>0310</v>
      </c>
      <c r="C105" s="64" t="str">
        <f>'Приложение 3'!D110</f>
        <v>99</v>
      </c>
      <c r="D105" s="64">
        <f>'Приложение 3'!E110</f>
        <v>0</v>
      </c>
      <c r="E105" s="64"/>
      <c r="F105" s="51">
        <f>'Приложение 3'!G110</f>
        <v>50</v>
      </c>
      <c r="G105" s="51">
        <f>'Приложение 3'!H110</f>
        <v>0</v>
      </c>
      <c r="H105" s="88">
        <f t="shared" si="1"/>
        <v>0</v>
      </c>
    </row>
    <row r="106" spans="1:8" ht="27" customHeight="1" outlineLevel="5">
      <c r="A106" s="39" t="str">
        <f>'Приложение 3'!A111</f>
        <v>Закупка товаров, работ и услуг для государственных (муниципальных) нужд</v>
      </c>
      <c r="B106" s="64" t="str">
        <f>'Приложение 3'!C111</f>
        <v>0310</v>
      </c>
      <c r="C106" s="64" t="str">
        <f>'Приложение 3'!D111</f>
        <v>99</v>
      </c>
      <c r="D106" s="64">
        <f>'Приложение 3'!E111</f>
        <v>0</v>
      </c>
      <c r="E106" s="64">
        <f>'Приложение 3'!F111</f>
        <v>200</v>
      </c>
      <c r="F106" s="51">
        <f>'Приложение 3'!G111</f>
        <v>50</v>
      </c>
      <c r="G106" s="51">
        <f>'Приложение 3'!H111</f>
        <v>0</v>
      </c>
      <c r="H106" s="88">
        <f t="shared" si="1"/>
        <v>0</v>
      </c>
    </row>
    <row r="107" spans="1:8" ht="18" customHeight="1" hidden="1" outlineLevel="3">
      <c r="A107" s="39" t="e">
        <f>'Приложение 3'!#REF!</f>
        <v>#REF!</v>
      </c>
      <c r="B107" s="64" t="e">
        <f>'Приложение 3'!#REF!</f>
        <v>#REF!</v>
      </c>
      <c r="C107" s="64"/>
      <c r="D107" s="64"/>
      <c r="E107" s="64"/>
      <c r="F107" s="51" t="e">
        <f>'Приложение 3'!#REF!</f>
        <v>#REF!</v>
      </c>
      <c r="G107" s="51" t="e">
        <f>'Приложение 3'!#REF!</f>
        <v>#REF!</v>
      </c>
      <c r="H107" s="88" t="e">
        <f t="shared" si="1"/>
        <v>#REF!</v>
      </c>
    </row>
    <row r="108" spans="1:8" ht="27" customHeight="1" hidden="1" outlineLevel="3">
      <c r="A108" s="39" t="e">
        <f>'Приложение 3'!#REF!</f>
        <v>#REF!</v>
      </c>
      <c r="B108" s="64" t="e">
        <f>'Приложение 3'!#REF!</f>
        <v>#REF!</v>
      </c>
      <c r="C108" s="64" t="e">
        <f>'Приложение 3'!#REF!</f>
        <v>#REF!</v>
      </c>
      <c r="D108" s="64" t="e">
        <f>'Приложение 3'!#REF!</f>
        <v>#REF!</v>
      </c>
      <c r="E108" s="64"/>
      <c r="F108" s="51" t="e">
        <f>'Приложение 3'!#REF!</f>
        <v>#REF!</v>
      </c>
      <c r="G108" s="51" t="e">
        <f>'Приложение 3'!#REF!</f>
        <v>#REF!</v>
      </c>
      <c r="H108" s="88" t="e">
        <f t="shared" si="1"/>
        <v>#REF!</v>
      </c>
    </row>
    <row r="109" spans="1:8" ht="27" customHeight="1" hidden="1" outlineLevel="3">
      <c r="A109" s="39" t="e">
        <f>'Приложение 3'!#REF!</f>
        <v>#REF!</v>
      </c>
      <c r="B109" s="64" t="e">
        <f>'Приложение 3'!#REF!</f>
        <v>#REF!</v>
      </c>
      <c r="C109" s="64" t="e">
        <f>'Приложение 3'!#REF!</f>
        <v>#REF!</v>
      </c>
      <c r="D109" s="64" t="e">
        <f>'Приложение 3'!#REF!</f>
        <v>#REF!</v>
      </c>
      <c r="E109" s="64" t="e">
        <f>'Приложение 3'!#REF!</f>
        <v>#REF!</v>
      </c>
      <c r="F109" s="51" t="e">
        <f>'Приложение 3'!#REF!</f>
        <v>#REF!</v>
      </c>
      <c r="G109" s="51" t="e">
        <f>'Приложение 3'!#REF!</f>
        <v>#REF!</v>
      </c>
      <c r="H109" s="88" t="e">
        <f t="shared" si="1"/>
        <v>#REF!</v>
      </c>
    </row>
    <row r="110" spans="1:8" ht="11.25" customHeight="1" outlineLevel="3">
      <c r="A110" s="39" t="str">
        <f>'Приложение 3'!A112</f>
        <v>Национальная экономика</v>
      </c>
      <c r="B110" s="64" t="str">
        <f>'Приложение 3'!C112</f>
        <v>0400</v>
      </c>
      <c r="C110" s="64"/>
      <c r="D110" s="64"/>
      <c r="E110" s="64"/>
      <c r="F110" s="51">
        <f>'Приложение 3'!G112</f>
        <v>125204.00788</v>
      </c>
      <c r="G110" s="51">
        <f>'Приложение 3'!H112</f>
        <v>146.5</v>
      </c>
      <c r="H110" s="88">
        <f t="shared" si="1"/>
        <v>0.1170090338804576</v>
      </c>
    </row>
    <row r="111" spans="1:8" ht="12.75" outlineLevel="3">
      <c r="A111" s="39" t="str">
        <f>'Приложение 3'!A113</f>
        <v>Сельское хозяйство и рыболовство</v>
      </c>
      <c r="B111" s="64" t="str">
        <f>'Приложение 3'!C113</f>
        <v>0405</v>
      </c>
      <c r="C111" s="64"/>
      <c r="D111" s="64"/>
      <c r="E111" s="64"/>
      <c r="F111" s="51">
        <f>'Приложение 3'!G113</f>
        <v>143.5</v>
      </c>
      <c r="G111" s="51">
        <f>'Приложение 3'!H113</f>
        <v>0</v>
      </c>
      <c r="H111" s="88">
        <f t="shared" si="1"/>
        <v>0</v>
      </c>
    </row>
    <row r="112" spans="1:8" ht="48" outlineLevel="3">
      <c r="A112" s="39" t="str">
        <f>'Приложение 3'!A114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2" s="64" t="str">
        <f>'Приложение 3'!C114</f>
        <v>0405</v>
      </c>
      <c r="C112" s="64" t="str">
        <f>'Приложение 3'!D114</f>
        <v>99</v>
      </c>
      <c r="D112" s="64">
        <f>'Приложение 3'!E114</f>
        <v>0</v>
      </c>
      <c r="E112" s="64"/>
      <c r="F112" s="51">
        <f>'Приложение 3'!G114</f>
        <v>143.5</v>
      </c>
      <c r="G112" s="51">
        <f>'Приложение 3'!H114</f>
        <v>0</v>
      </c>
      <c r="H112" s="88">
        <f t="shared" si="1"/>
        <v>0</v>
      </c>
    </row>
    <row r="113" spans="1:8" ht="24" outlineLevel="3">
      <c r="A113" s="39" t="str">
        <f>'Приложение 3'!A115</f>
        <v>Непрограммные расходы органов местного самоуправления Алексеевского муниципального района</v>
      </c>
      <c r="B113" s="64" t="str">
        <f>'Приложение 3'!C115</f>
        <v>0405</v>
      </c>
      <c r="C113" s="64" t="str">
        <f>'Приложение 3'!D115</f>
        <v>99</v>
      </c>
      <c r="D113" s="64">
        <f>'Приложение 3'!E115</f>
        <v>0</v>
      </c>
      <c r="E113" s="64"/>
      <c r="F113" s="51">
        <f>'Приложение 3'!G115</f>
        <v>143.5</v>
      </c>
      <c r="G113" s="51">
        <f>'Приложение 3'!H115</f>
        <v>0</v>
      </c>
      <c r="H113" s="88">
        <f t="shared" si="1"/>
        <v>0</v>
      </c>
    </row>
    <row r="114" spans="1:8" ht="24" outlineLevel="3">
      <c r="A114" s="39" t="str">
        <f>'Приложение 3'!A116</f>
        <v>Закупка товаров, работ и услуг для государственных (муниципальных) нужд</v>
      </c>
      <c r="B114" s="64" t="str">
        <f>'Приложение 3'!C116</f>
        <v>0405</v>
      </c>
      <c r="C114" s="64" t="str">
        <f>'Приложение 3'!D116</f>
        <v>99</v>
      </c>
      <c r="D114" s="64">
        <f>'Приложение 3'!E116</f>
        <v>0</v>
      </c>
      <c r="E114" s="64">
        <f>'Приложение 3'!F116</f>
        <v>200</v>
      </c>
      <c r="F114" s="51">
        <f>'Приложение 3'!G116</f>
        <v>143.5</v>
      </c>
      <c r="G114" s="51">
        <f>'Приложение 3'!H116</f>
        <v>0</v>
      </c>
      <c r="H114" s="88">
        <f t="shared" si="1"/>
        <v>0</v>
      </c>
    </row>
    <row r="115" spans="1:8" ht="12.75" outlineLevel="3">
      <c r="A115" s="39" t="str">
        <f>'Приложение 3'!A117</f>
        <v>Дорожное хозяйство (дорожные фонды)</v>
      </c>
      <c r="B115" s="64" t="str">
        <f>'Приложение 3'!C117</f>
        <v>0409</v>
      </c>
      <c r="C115" s="64"/>
      <c r="D115" s="64"/>
      <c r="E115" s="64"/>
      <c r="F115" s="51">
        <f>'Приложение 3'!G117</f>
        <v>124610.50788</v>
      </c>
      <c r="G115" s="51">
        <f>'Приложение 3'!H117</f>
        <v>0</v>
      </c>
      <c r="H115" s="88">
        <f t="shared" si="1"/>
        <v>0</v>
      </c>
    </row>
    <row r="116" spans="1:8" ht="48" outlineLevel="3">
      <c r="A116" s="39" t="str">
        <f>'Приложение 3'!A118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6" s="64" t="str">
        <f>'Приложение 3'!C118</f>
        <v>0409</v>
      </c>
      <c r="C116" s="64" t="str">
        <f>'Приложение 3'!D118</f>
        <v>18</v>
      </c>
      <c r="D116" s="64">
        <f>'Приложение 3'!E118</f>
        <v>0</v>
      </c>
      <c r="E116" s="64"/>
      <c r="F116" s="51">
        <f>'Приложение 3'!G118</f>
        <v>44610.50808</v>
      </c>
      <c r="G116" s="51">
        <f>'Приложение 3'!H118</f>
        <v>0</v>
      </c>
      <c r="H116" s="88">
        <f t="shared" si="1"/>
        <v>0</v>
      </c>
    </row>
    <row r="117" spans="1:8" ht="27" customHeight="1" outlineLevel="1">
      <c r="A117" s="39" t="str">
        <f>'Приложение 3'!A119</f>
        <v>Закупка товаров, работ и услуг для государственных (муниципальных) нужд</v>
      </c>
      <c r="B117" s="64" t="str">
        <f>'Приложение 3'!C119</f>
        <v>0409</v>
      </c>
      <c r="C117" s="64" t="str">
        <f>'Приложение 3'!D119</f>
        <v>18</v>
      </c>
      <c r="D117" s="64">
        <f>'Приложение 3'!E119</f>
        <v>0</v>
      </c>
      <c r="E117" s="64">
        <f>'Приложение 3'!F119</f>
        <v>200</v>
      </c>
      <c r="F117" s="51">
        <f>'Приложение 3'!G119</f>
        <v>10333.093930000001</v>
      </c>
      <c r="G117" s="51">
        <f>'Приложение 3'!H119</f>
        <v>0</v>
      </c>
      <c r="H117" s="88">
        <f t="shared" si="1"/>
        <v>0</v>
      </c>
    </row>
    <row r="118" spans="1:8" ht="21.75" customHeight="1" outlineLevel="1">
      <c r="A118" s="39" t="str">
        <f>'Приложение 3'!A120</f>
        <v>Субсидия на реализацию мероприятий в сфере дорожной деятельности </v>
      </c>
      <c r="B118" s="64" t="str">
        <f>'Приложение 3'!C120</f>
        <v>0409</v>
      </c>
      <c r="C118" s="64" t="str">
        <f>'Приложение 3'!D120</f>
        <v>18</v>
      </c>
      <c r="D118" s="64">
        <f>'Приложение 3'!E120</f>
        <v>0</v>
      </c>
      <c r="E118" s="64">
        <f>'Приложение 3'!F120</f>
        <v>200</v>
      </c>
      <c r="F118" s="51">
        <f>'Приложение 3'!G120</f>
        <v>14000</v>
      </c>
      <c r="G118" s="51">
        <f>'Приложение 3'!H120</f>
        <v>0</v>
      </c>
      <c r="H118" s="88">
        <f t="shared" si="1"/>
        <v>0</v>
      </c>
    </row>
    <row r="119" spans="1:8" ht="36" outlineLevel="1">
      <c r="A119" s="39" t="str">
        <f>'Приложение 3'!A121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9" s="64" t="str">
        <f>'Приложение 3'!C121</f>
        <v>0409</v>
      </c>
      <c r="C119" s="64" t="str">
        <f>'Приложение 3'!D121</f>
        <v>18</v>
      </c>
      <c r="D119" s="64">
        <f>'Приложение 3'!E121</f>
        <v>0</v>
      </c>
      <c r="E119" s="64">
        <f>'Приложение 3'!F121</f>
        <v>200</v>
      </c>
      <c r="F119" s="51">
        <f>'Приложение 3'!G121</f>
        <v>141.41415</v>
      </c>
      <c r="G119" s="51">
        <f>'Приложение 3'!H121</f>
        <v>0</v>
      </c>
      <c r="H119" s="88">
        <f t="shared" si="1"/>
        <v>0</v>
      </c>
    </row>
    <row r="120" spans="1:8" ht="29.25" customHeight="1" outlineLevel="1">
      <c r="A120" s="39" t="str">
        <f>'Приложение 3'!A122</f>
        <v>Межбюджетные трансферты за счет средств субсидии на реализацию мероприятий в сфере дорожной деятельности</v>
      </c>
      <c r="B120" s="64" t="str">
        <f>'Приложение 3'!C122</f>
        <v>0409</v>
      </c>
      <c r="C120" s="64" t="str">
        <f>'Приложение 3'!D122</f>
        <v>18</v>
      </c>
      <c r="D120" s="64">
        <f>'Приложение 3'!E122</f>
        <v>0</v>
      </c>
      <c r="E120" s="64">
        <f>'Приложение 3'!F122</f>
        <v>500</v>
      </c>
      <c r="F120" s="51">
        <f>'Приложение 3'!G122</f>
        <v>20136</v>
      </c>
      <c r="G120" s="51">
        <f>'Приложение 3'!H122</f>
        <v>0</v>
      </c>
      <c r="H120" s="88">
        <f t="shared" si="1"/>
        <v>0</v>
      </c>
    </row>
    <row r="121" spans="1:8" ht="24" outlineLevel="1">
      <c r="A121" s="39" t="str">
        <f>'Приложение 3'!A123</f>
        <v>Муниципальная программа "Комплексное развитие сельских территорий"</v>
      </c>
      <c r="B121" s="64" t="str">
        <f>'Приложение 3'!C123</f>
        <v>0409</v>
      </c>
      <c r="C121" s="64" t="str">
        <f>'Приложение 3'!D123</f>
        <v>03</v>
      </c>
      <c r="D121" s="64">
        <f>'Приложение 3'!E123</f>
        <v>0</v>
      </c>
      <c r="E121" s="64"/>
      <c r="F121" s="51">
        <f>'Приложение 3'!G123</f>
        <v>79999.9998</v>
      </c>
      <c r="G121" s="51">
        <f>'Приложение 3'!H123</f>
        <v>0</v>
      </c>
      <c r="H121" s="88">
        <f t="shared" si="1"/>
        <v>0</v>
      </c>
    </row>
    <row r="122" spans="1:8" ht="24" outlineLevel="1">
      <c r="A122" s="39" t="str">
        <f>'Приложение 3'!A124</f>
        <v>Субсидия на развитие транспортной инфраструктуры на сельских территориях</v>
      </c>
      <c r="B122" s="64" t="str">
        <f>'Приложение 3'!C124</f>
        <v>0409</v>
      </c>
      <c r="C122" s="64" t="str">
        <f>'Приложение 3'!D124</f>
        <v>03</v>
      </c>
      <c r="D122" s="64">
        <f>'Приложение 3'!E124</f>
        <v>0</v>
      </c>
      <c r="E122" s="64">
        <f>'Приложение 3'!F124</f>
        <v>500</v>
      </c>
      <c r="F122" s="51">
        <f>'Приложение 3'!G124</f>
        <v>79999.9998</v>
      </c>
      <c r="G122" s="51">
        <f>'Приложение 3'!H124</f>
        <v>0</v>
      </c>
      <c r="H122" s="88">
        <f t="shared" si="1"/>
        <v>0</v>
      </c>
    </row>
    <row r="123" spans="1:8" ht="16.5" customHeight="1" outlineLevel="2">
      <c r="A123" s="39" t="str">
        <f>'Приложение 3'!A125</f>
        <v>Другие вопросы в области национальной экономики</v>
      </c>
      <c r="B123" s="64" t="str">
        <f>'Приложение 3'!C125</f>
        <v>0412</v>
      </c>
      <c r="C123" s="64"/>
      <c r="D123" s="64"/>
      <c r="E123" s="64"/>
      <c r="F123" s="51">
        <f>'Приложение 3'!G125</f>
        <v>450</v>
      </c>
      <c r="G123" s="51">
        <f>'Приложение 3'!H125</f>
        <v>146.5</v>
      </c>
      <c r="H123" s="88">
        <f t="shared" si="1"/>
        <v>32.55555555555556</v>
      </c>
    </row>
    <row r="124" spans="1:8" ht="35.25" customHeight="1" outlineLevel="2">
      <c r="A124" s="39" t="str">
        <f>'Приложение 3'!A126</f>
        <v>Муниципальная программа "Развитие и поддержка малого предпринимательства Алексеевского муниципального района на 2024-2028 годы "</v>
      </c>
      <c r="B124" s="64" t="str">
        <f>'Приложение 3'!C126</f>
        <v>0412</v>
      </c>
      <c r="C124" s="64" t="str">
        <f>'Приложение 3'!D126</f>
        <v>04</v>
      </c>
      <c r="D124" s="64">
        <f>'Приложение 3'!E126</f>
        <v>0</v>
      </c>
      <c r="E124" s="64"/>
      <c r="F124" s="51">
        <f>'Приложение 3'!G126</f>
        <v>50</v>
      </c>
      <c r="G124" s="51">
        <f>'Приложение 3'!H126</f>
        <v>0</v>
      </c>
      <c r="H124" s="88">
        <f t="shared" si="1"/>
        <v>0</v>
      </c>
    </row>
    <row r="125" spans="1:8" ht="108" customHeight="1" hidden="1" outlineLevel="2">
      <c r="A125" s="39" t="str">
        <f>'Приложение 3'!A127</f>
        <v>Закупка товаров, работ и услуг для государственных (муниципальных) нужд</v>
      </c>
      <c r="B125" s="64" t="str">
        <f>'Приложение 3'!C127</f>
        <v>0412</v>
      </c>
      <c r="C125" s="64" t="str">
        <f>'Приложение 3'!D127</f>
        <v>04</v>
      </c>
      <c r="D125" s="64">
        <f>'Приложение 3'!E127</f>
        <v>0</v>
      </c>
      <c r="E125" s="64">
        <f>'Приложение 3'!F127</f>
        <v>200</v>
      </c>
      <c r="F125" s="51">
        <f>'Приложение 3'!G127</f>
        <v>0</v>
      </c>
      <c r="G125" s="51">
        <f>'Приложение 3'!H127</f>
        <v>0</v>
      </c>
      <c r="H125" s="88" t="e">
        <f t="shared" si="1"/>
        <v>#DIV/0!</v>
      </c>
    </row>
    <row r="126" spans="1:8" ht="165" customHeight="1" hidden="1" outlineLevel="2">
      <c r="A126" s="39" t="str">
        <f>'Приложение 3'!A128</f>
        <v>Социальное обеспечение и иные выплаты населению</v>
      </c>
      <c r="B126" s="64" t="str">
        <f>'Приложение 3'!C128</f>
        <v>0412</v>
      </c>
      <c r="C126" s="64" t="str">
        <f>'Приложение 3'!D128</f>
        <v>04</v>
      </c>
      <c r="D126" s="64">
        <f>'Приложение 3'!E128</f>
        <v>0</v>
      </c>
      <c r="E126" s="64">
        <f>'Приложение 3'!F128</f>
        <v>300</v>
      </c>
      <c r="F126" s="51">
        <f>'Приложение 3'!G128</f>
        <v>0</v>
      </c>
      <c r="G126" s="51">
        <f>'Приложение 3'!H128</f>
        <v>0</v>
      </c>
      <c r="H126" s="88" t="e">
        <f t="shared" si="1"/>
        <v>#DIV/0!</v>
      </c>
    </row>
    <row r="127" spans="1:8" ht="12.75" outlineLevel="2">
      <c r="A127" s="39" t="str">
        <f>'Приложение 3'!A129</f>
        <v>Иные бюджетные ассигнования</v>
      </c>
      <c r="B127" s="64" t="str">
        <f>'Приложение 3'!C129</f>
        <v>0412</v>
      </c>
      <c r="C127" s="64" t="str">
        <f>'Приложение 3'!D129</f>
        <v>04</v>
      </c>
      <c r="D127" s="64">
        <f>'Приложение 3'!E129</f>
        <v>0</v>
      </c>
      <c r="E127" s="64">
        <f>'Приложение 3'!F129</f>
        <v>800</v>
      </c>
      <c r="F127" s="51">
        <f>'Приложение 3'!G129</f>
        <v>50</v>
      </c>
      <c r="G127" s="51">
        <f>'Приложение 3'!H129</f>
        <v>0</v>
      </c>
      <c r="H127" s="88">
        <f t="shared" si="1"/>
        <v>0</v>
      </c>
    </row>
    <row r="128" spans="1:8" ht="39" customHeight="1" outlineLevel="2">
      <c r="A128" s="39" t="str">
        <f>'Приложение 3'!A130</f>
        <v>Муниципальная программа "Градостроительная политика на территории Алексеевского муниципального района на 2022–2024 годы"</v>
      </c>
      <c r="B128" s="64" t="str">
        <f>'Приложение 3'!C130</f>
        <v>0412</v>
      </c>
      <c r="C128" s="64" t="str">
        <f>'Приложение 3'!D130</f>
        <v>09</v>
      </c>
      <c r="D128" s="64">
        <f>'Приложение 3'!E130</f>
        <v>0</v>
      </c>
      <c r="E128" s="64"/>
      <c r="F128" s="51">
        <f>'Приложение 3'!G130</f>
        <v>400</v>
      </c>
      <c r="G128" s="51">
        <f>'Приложение 3'!H130</f>
        <v>146.5</v>
      </c>
      <c r="H128" s="88">
        <f t="shared" si="1"/>
        <v>36.625</v>
      </c>
    </row>
    <row r="129" spans="1:8" ht="24" customHeight="1" outlineLevel="2">
      <c r="A129" s="39" t="str">
        <f>'Приложение 3'!A131</f>
        <v>Закупка товаров, работ и услуг для государственных (муниципальных) нужд</v>
      </c>
      <c r="B129" s="64" t="str">
        <f>'Приложение 3'!C131</f>
        <v>0412</v>
      </c>
      <c r="C129" s="64" t="str">
        <f>'Приложение 3'!D131</f>
        <v>09</v>
      </c>
      <c r="D129" s="64">
        <f>'Приложение 3'!E131</f>
        <v>0</v>
      </c>
      <c r="E129" s="64">
        <f>'Приложение 3'!F131</f>
        <v>200</v>
      </c>
      <c r="F129" s="51">
        <f>'Приложение 3'!G131</f>
        <v>400</v>
      </c>
      <c r="G129" s="51">
        <f>'Приложение 3'!H131</f>
        <v>146.5</v>
      </c>
      <c r="H129" s="88">
        <f t="shared" si="1"/>
        <v>36.625</v>
      </c>
    </row>
    <row r="130" spans="1:8" ht="12.75" hidden="1" outlineLevel="2">
      <c r="A130" s="39" t="str">
        <f>'Приложение 3'!A132</f>
        <v>Межбюджетные трансферты</v>
      </c>
      <c r="B130" s="64" t="str">
        <f>'Приложение 3'!C132</f>
        <v>0412</v>
      </c>
      <c r="C130" s="64" t="str">
        <f>'Приложение 3'!D132</f>
        <v>09</v>
      </c>
      <c r="D130" s="64">
        <f>'Приложение 3'!E132</f>
        <v>0</v>
      </c>
      <c r="E130" s="64">
        <f>'Приложение 3'!F132</f>
        <v>500</v>
      </c>
      <c r="F130" s="51">
        <f>'Приложение 3'!G132</f>
        <v>0</v>
      </c>
      <c r="G130" s="51">
        <f>'Приложение 3'!H132</f>
        <v>0</v>
      </c>
      <c r="H130" s="88" t="e">
        <f t="shared" si="1"/>
        <v>#DIV/0!</v>
      </c>
    </row>
    <row r="131" spans="1:8" ht="16.5" customHeight="1" outlineLevel="3">
      <c r="A131" s="39" t="str">
        <f>'Приложение 3'!A133</f>
        <v>Проведение кадастровых работ в отношении земельных участков</v>
      </c>
      <c r="B131" s="64" t="str">
        <f>'Приложение 3'!C133</f>
        <v>0412</v>
      </c>
      <c r="C131" s="64" t="str">
        <f>'Приложение 3'!D133</f>
        <v>09</v>
      </c>
      <c r="D131" s="64">
        <f>'Приложение 3'!E133</f>
        <v>0</v>
      </c>
      <c r="E131" s="64"/>
      <c r="F131" s="51">
        <f>'Приложение 3'!G133</f>
        <v>0</v>
      </c>
      <c r="G131" s="51">
        <f>'Приложение 3'!H133</f>
        <v>0</v>
      </c>
      <c r="H131" s="88" t="e">
        <f t="shared" si="1"/>
        <v>#DIV/0!</v>
      </c>
    </row>
    <row r="132" spans="1:8" ht="42.75" customHeight="1" outlineLevel="3">
      <c r="A132" s="39" t="str">
        <f>'Приложение 3'!A134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возмещение расходов на проведение кадастровых работ в отношение земельных участков)</v>
      </c>
      <c r="B132" s="64" t="str">
        <f>'Приложение 3'!C134</f>
        <v>0412</v>
      </c>
      <c r="C132" s="64" t="str">
        <f>'Приложение 3'!D134</f>
        <v>09</v>
      </c>
      <c r="D132" s="64">
        <f>'Приложение 3'!E134</f>
        <v>0</v>
      </c>
      <c r="E132" s="64">
        <f>'Приложение 3'!F134</f>
        <v>200</v>
      </c>
      <c r="F132" s="51">
        <f>'Приложение 3'!G134</f>
        <v>0</v>
      </c>
      <c r="G132" s="51">
        <f>'Приложение 3'!H134</f>
        <v>0</v>
      </c>
      <c r="H132" s="88" t="e">
        <f t="shared" si="1"/>
        <v>#DIV/0!</v>
      </c>
    </row>
    <row r="133" spans="1:8" ht="27" customHeight="1" hidden="1" outlineLevel="3">
      <c r="A133" s="39" t="str">
        <f>'Приложение 3'!A135</f>
        <v>Закупка товаров, работ и услуг для государственных (муниципальных) нужд (софинансирование)</v>
      </c>
      <c r="B133" s="64" t="str">
        <f>'Приложение 3'!C135</f>
        <v>0412</v>
      </c>
      <c r="C133" s="64" t="str">
        <f>'Приложение 3'!D135</f>
        <v>09</v>
      </c>
      <c r="D133" s="64">
        <f>'Приложение 3'!E135</f>
        <v>0</v>
      </c>
      <c r="E133" s="64">
        <f>'Приложение 3'!F135</f>
        <v>200</v>
      </c>
      <c r="F133" s="51">
        <f>'Приложение 3'!G135</f>
        <v>0</v>
      </c>
      <c r="G133" s="51">
        <f>'Приложение 3'!H135</f>
        <v>0</v>
      </c>
      <c r="H133" s="88" t="e">
        <f t="shared" si="1"/>
        <v>#DIV/0!</v>
      </c>
    </row>
    <row r="134" spans="1:8" ht="12.75" outlineLevel="2">
      <c r="A134" s="39" t="str">
        <f>'Приложение 3'!A136</f>
        <v>Жилищно-коммунальное хозяйство</v>
      </c>
      <c r="B134" s="64" t="str">
        <f>'Приложение 3'!C136</f>
        <v>0500</v>
      </c>
      <c r="C134" s="64"/>
      <c r="D134" s="64"/>
      <c r="E134" s="64"/>
      <c r="F134" s="51">
        <f>'Приложение 3'!G136</f>
        <v>25658.3</v>
      </c>
      <c r="G134" s="51">
        <f>'Приложение 3'!H136</f>
        <v>1200.53469</v>
      </c>
      <c r="H134" s="88">
        <f t="shared" si="1"/>
        <v>4.678933093774724</v>
      </c>
    </row>
    <row r="135" spans="1:8" ht="12.75" outlineLevel="3">
      <c r="A135" s="39" t="str">
        <f>'Приложение 3'!A137</f>
        <v>Коммунальное хозяйство</v>
      </c>
      <c r="B135" s="64" t="str">
        <f>'Приложение 3'!C137</f>
        <v>0502</v>
      </c>
      <c r="C135" s="64"/>
      <c r="D135" s="64"/>
      <c r="E135" s="64"/>
      <c r="F135" s="51">
        <f>'Приложение 3'!G137</f>
        <v>19547</v>
      </c>
      <c r="G135" s="51">
        <f>'Приложение 3'!H137</f>
        <v>1200.53469</v>
      </c>
      <c r="H135" s="88">
        <f t="shared" si="1"/>
        <v>6.141784877474804</v>
      </c>
    </row>
    <row r="136" spans="1:8" ht="36" outlineLevel="3">
      <c r="A136" s="39" t="str">
        <f>'Приложение 3'!A138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6" s="64" t="str">
        <f>'Приложение 3'!C138</f>
        <v>0502</v>
      </c>
      <c r="C136" s="64" t="str">
        <f>'Приложение 3'!D138</f>
        <v>02</v>
      </c>
      <c r="D136" s="64">
        <f>'Приложение 3'!E138</f>
        <v>0</v>
      </c>
      <c r="E136" s="64"/>
      <c r="F136" s="51">
        <f>'Приложение 3'!G138</f>
        <v>15000</v>
      </c>
      <c r="G136" s="51">
        <f>'Приложение 3'!H138</f>
        <v>0</v>
      </c>
      <c r="H136" s="88">
        <f t="shared" si="1"/>
        <v>0</v>
      </c>
    </row>
    <row r="137" spans="1:8" ht="36" hidden="1" outlineLevel="3">
      <c r="A137" s="39" t="str">
        <f>'Приложение 3'!A139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7" s="64" t="str">
        <f>'Приложение 3'!C139</f>
        <v>0502</v>
      </c>
      <c r="C137" s="64" t="str">
        <f>'Приложение 3'!D139</f>
        <v>02</v>
      </c>
      <c r="D137" s="64">
        <f>'Приложение 3'!E139</f>
        <v>1</v>
      </c>
      <c r="E137" s="64"/>
      <c r="F137" s="51">
        <f>'Приложение 3'!G139</f>
        <v>0</v>
      </c>
      <c r="G137" s="51">
        <f>'Приложение 3'!H139</f>
        <v>0</v>
      </c>
      <c r="H137" s="88" t="e">
        <f t="shared" si="1"/>
        <v>#DIV/0!</v>
      </c>
    </row>
    <row r="138" spans="1:8" ht="24" hidden="1" outlineLevel="3">
      <c r="A138" s="39" t="str">
        <f>'Приложение 3'!A140</f>
        <v>Закупка товаров, работ и услуг для государственных (муниципальных) нужд</v>
      </c>
      <c r="B138" s="64" t="str">
        <f>'Приложение 3'!C140</f>
        <v>0502</v>
      </c>
      <c r="C138" s="64" t="str">
        <f>'Приложение 3'!D140</f>
        <v>02</v>
      </c>
      <c r="D138" s="64">
        <f>'Приложение 3'!E140</f>
        <v>1</v>
      </c>
      <c r="E138" s="64">
        <f>'Приложение 3'!F140</f>
        <v>200</v>
      </c>
      <c r="F138" s="51">
        <f>'Приложение 3'!G140</f>
        <v>0</v>
      </c>
      <c r="G138" s="51">
        <f>'Приложение 3'!H140</f>
        <v>0</v>
      </c>
      <c r="H138" s="88" t="e">
        <f aca="true" t="shared" si="2" ref="H138:H201">SUM(G138/F138)*100</f>
        <v>#DIV/0!</v>
      </c>
    </row>
    <row r="139" spans="1:8" ht="36" hidden="1" outlineLevel="3">
      <c r="A139" s="39" t="str">
        <f>'Приложение 3'!A141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9" s="64" t="str">
        <f>'Приложение 3'!C141</f>
        <v>0502</v>
      </c>
      <c r="C139" s="64" t="str">
        <f>'Приложение 3'!D141</f>
        <v>02</v>
      </c>
      <c r="D139" s="64">
        <f>'Приложение 3'!E141</f>
        <v>1</v>
      </c>
      <c r="E139" s="64">
        <f>'Приложение 3'!F141</f>
        <v>500</v>
      </c>
      <c r="F139" s="51">
        <f>'Приложение 3'!G141</f>
        <v>0</v>
      </c>
      <c r="G139" s="51">
        <f>'Приложение 3'!H141</f>
        <v>0</v>
      </c>
      <c r="H139" s="88" t="e">
        <f t="shared" si="2"/>
        <v>#DIV/0!</v>
      </c>
    </row>
    <row r="140" spans="1:8" ht="12.75" hidden="1" outlineLevel="3">
      <c r="A140" s="39" t="str">
        <f>'Приложение 3'!A142</f>
        <v>Межбюджетные трансферты</v>
      </c>
      <c r="B140" s="64" t="str">
        <f>'Приложение 3'!C142</f>
        <v>0502</v>
      </c>
      <c r="C140" s="64" t="str">
        <f>'Приложение 3'!D142</f>
        <v>02</v>
      </c>
      <c r="D140" s="64">
        <f>'Приложение 3'!E142</f>
        <v>1</v>
      </c>
      <c r="E140" s="64">
        <f>'Приложение 3'!F142</f>
        <v>500</v>
      </c>
      <c r="F140" s="51">
        <f>'Приложение 3'!G142</f>
        <v>0</v>
      </c>
      <c r="G140" s="51">
        <f>'Приложение 3'!H142</f>
        <v>0</v>
      </c>
      <c r="H140" s="88" t="e">
        <f t="shared" si="2"/>
        <v>#DIV/0!</v>
      </c>
    </row>
    <row r="141" spans="1:8" ht="36" outlineLevel="3">
      <c r="A141" s="39" t="str">
        <f>'Приложение 3'!A143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41" s="64" t="str">
        <f>'Приложение 3'!C143</f>
        <v>0502</v>
      </c>
      <c r="C141" s="64" t="str">
        <f>'Приложение 3'!D143</f>
        <v>02</v>
      </c>
      <c r="D141" s="64">
        <f>'Приложение 3'!E143</f>
        <v>3</v>
      </c>
      <c r="E141" s="64"/>
      <c r="F141" s="51">
        <f>'Приложение 3'!G143</f>
        <v>15000</v>
      </c>
      <c r="G141" s="51">
        <f>'Приложение 3'!H143</f>
        <v>0</v>
      </c>
      <c r="H141" s="88">
        <f t="shared" si="2"/>
        <v>0</v>
      </c>
    </row>
    <row r="142" spans="1:8" ht="24" outlineLevel="3">
      <c r="A142" s="39" t="str">
        <f>'Приложение 3'!A144</f>
        <v>Капитальные вложения в объекты государственной (муниципальной) собственности</v>
      </c>
      <c r="B142" s="64" t="str">
        <f>'Приложение 3'!C144</f>
        <v>0502</v>
      </c>
      <c r="C142" s="64" t="str">
        <f>'Приложение 3'!D144</f>
        <v>02</v>
      </c>
      <c r="D142" s="64">
        <f>'Приложение 3'!E144</f>
        <v>3</v>
      </c>
      <c r="E142" s="64">
        <f>'Приложение 3'!F144</f>
        <v>400</v>
      </c>
      <c r="F142" s="51">
        <f>'Приложение 3'!G144</f>
        <v>15000</v>
      </c>
      <c r="G142" s="51">
        <f>'Приложение 3'!H144</f>
        <v>0</v>
      </c>
      <c r="H142" s="88">
        <f t="shared" si="2"/>
        <v>0</v>
      </c>
    </row>
    <row r="143" spans="1:8" ht="60" outlineLevel="3">
      <c r="A143" s="39" t="str">
        <f>'Приложение 3'!A145</f>
        <v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v>
      </c>
      <c r="B143" s="64" t="str">
        <f>'Приложение 3'!C145</f>
        <v>0502</v>
      </c>
      <c r="C143" s="64" t="str">
        <f>'Приложение 3'!D145</f>
        <v>51</v>
      </c>
      <c r="D143" s="64">
        <f>'Приложение 3'!E145</f>
        <v>0</v>
      </c>
      <c r="E143" s="64"/>
      <c r="F143" s="51">
        <f>'Приложение 3'!G145</f>
        <v>4000</v>
      </c>
      <c r="G143" s="51">
        <f>'Приложение 3'!H145</f>
        <v>689.22073</v>
      </c>
      <c r="H143" s="88">
        <f t="shared" si="2"/>
        <v>17.23051825</v>
      </c>
    </row>
    <row r="144" spans="1:8" ht="24" outlineLevel="3">
      <c r="A144" s="39" t="str">
        <f>'Приложение 3'!A146</f>
        <v>Предоставление субсидий бюджетным, автономным учреждениям и иным некоммерческим организациям</v>
      </c>
      <c r="B144" s="64" t="str">
        <f>'Приложение 3'!C146</f>
        <v>0502</v>
      </c>
      <c r="C144" s="64" t="str">
        <f>'Приложение 3'!D146</f>
        <v>51</v>
      </c>
      <c r="D144" s="64">
        <f>'Приложение 3'!E146</f>
        <v>0</v>
      </c>
      <c r="E144" s="64">
        <f>'Приложение 3'!F146</f>
        <v>600</v>
      </c>
      <c r="F144" s="51">
        <f>'Приложение 3'!G146</f>
        <v>4000</v>
      </c>
      <c r="G144" s="51">
        <f>'Приложение 3'!H146</f>
        <v>689.22073</v>
      </c>
      <c r="H144" s="88">
        <f t="shared" si="2"/>
        <v>17.23051825</v>
      </c>
    </row>
    <row r="145" spans="1:8" ht="50.25" customHeight="1" outlineLevel="1">
      <c r="A145" s="39" t="str">
        <f>'Приложение 3'!A147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5" s="64" t="str">
        <f>'Приложение 3'!C147</f>
        <v>0502</v>
      </c>
      <c r="C145" s="64"/>
      <c r="D145" s="64"/>
      <c r="E145" s="64"/>
      <c r="F145" s="51">
        <f>'Приложение 3'!G147</f>
        <v>547</v>
      </c>
      <c r="G145" s="51">
        <f>'Приложение 3'!H147</f>
        <v>511.31396</v>
      </c>
      <c r="H145" s="88">
        <f t="shared" si="2"/>
        <v>93.47604387568555</v>
      </c>
    </row>
    <row r="146" spans="1:8" ht="24" outlineLevel="1">
      <c r="A146" s="39" t="str">
        <f>'Приложение 3'!A148</f>
        <v>Непрограммные расходы органов местного самоуправления Алексеевского муниципального района</v>
      </c>
      <c r="B146" s="64" t="str">
        <f>'Приложение 3'!C148</f>
        <v>0502</v>
      </c>
      <c r="C146" s="64" t="str">
        <f>'Приложение 3'!D148</f>
        <v>99</v>
      </c>
      <c r="D146" s="64">
        <f>'Приложение 3'!E148</f>
        <v>0</v>
      </c>
      <c r="E146" s="64"/>
      <c r="F146" s="51">
        <f>'Приложение 3'!G148</f>
        <v>547</v>
      </c>
      <c r="G146" s="51">
        <f>'Приложение 3'!H148</f>
        <v>511.31396</v>
      </c>
      <c r="H146" s="88">
        <f t="shared" si="2"/>
        <v>93.47604387568555</v>
      </c>
    </row>
    <row r="147" spans="1:8" ht="12.75" outlineLevel="1">
      <c r="A147" s="39" t="str">
        <f>'Приложение 3'!A149</f>
        <v>Иные бюджетные ассигнования</v>
      </c>
      <c r="B147" s="64" t="str">
        <f>'Приложение 3'!C149</f>
        <v>0502</v>
      </c>
      <c r="C147" s="64" t="str">
        <f>'Приложение 3'!D149</f>
        <v>99</v>
      </c>
      <c r="D147" s="64">
        <f>'Приложение 3'!E149</f>
        <v>0</v>
      </c>
      <c r="E147" s="64">
        <f>'Приложение 3'!F149</f>
        <v>800</v>
      </c>
      <c r="F147" s="51">
        <f>'Приложение 3'!G149</f>
        <v>547</v>
      </c>
      <c r="G147" s="51">
        <f>'Приложение 3'!H149</f>
        <v>511.31396</v>
      </c>
      <c r="H147" s="88">
        <f t="shared" si="2"/>
        <v>93.47604387568555</v>
      </c>
    </row>
    <row r="148" spans="1:8" ht="12.75" outlineLevel="1">
      <c r="A148" s="39" t="str">
        <f>'Приложение 3'!A150</f>
        <v>Благоустройство</v>
      </c>
      <c r="B148" s="64" t="str">
        <f>'Приложение 3'!C150</f>
        <v>0503</v>
      </c>
      <c r="C148" s="64"/>
      <c r="D148" s="64"/>
      <c r="E148" s="64"/>
      <c r="F148" s="51">
        <f>'Приложение 3'!G150</f>
        <v>6111.3</v>
      </c>
      <c r="G148" s="51">
        <f>'Приложение 3'!H150</f>
        <v>0</v>
      </c>
      <c r="H148" s="88">
        <f t="shared" si="2"/>
        <v>0</v>
      </c>
    </row>
    <row r="149" spans="1:8" ht="24" outlineLevel="1">
      <c r="A149" s="39" t="str">
        <f>'Приложение 3'!A151</f>
        <v>Непрограммные расходы органов местного самоуправления Алексеевского муниципального района</v>
      </c>
      <c r="B149" s="64" t="str">
        <f>'Приложение 3'!C151</f>
        <v>0503</v>
      </c>
      <c r="C149" s="64" t="str">
        <f>'Приложение 3'!D151</f>
        <v>99</v>
      </c>
      <c r="D149" s="64">
        <f>'Приложение 3'!E151</f>
        <v>0</v>
      </c>
      <c r="E149" s="64"/>
      <c r="F149" s="51">
        <f>'Приложение 3'!G151</f>
        <v>6111.3</v>
      </c>
      <c r="G149" s="51">
        <f>'Приложение 3'!H151</f>
        <v>0</v>
      </c>
      <c r="H149" s="88">
        <f t="shared" si="2"/>
        <v>0</v>
      </c>
    </row>
    <row r="150" spans="1:8" ht="51" customHeight="1" outlineLevel="1">
      <c r="A150" s="39" t="str">
        <f>'Приложение 3'!A152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50" s="64" t="str">
        <f>'Приложение 3'!C152</f>
        <v>0503</v>
      </c>
      <c r="C150" s="64" t="str">
        <f>'Приложение 3'!D152</f>
        <v>99</v>
      </c>
      <c r="D150" s="64">
        <f>'Приложение 3'!E152</f>
        <v>0</v>
      </c>
      <c r="E150" s="64">
        <f>'Приложение 3'!F152</f>
        <v>500</v>
      </c>
      <c r="F150" s="51">
        <f>'Приложение 3'!G152</f>
        <v>6111.3</v>
      </c>
      <c r="G150" s="51">
        <f>'Приложение 3'!H152</f>
        <v>0</v>
      </c>
      <c r="H150" s="88">
        <f t="shared" si="2"/>
        <v>0</v>
      </c>
    </row>
    <row r="151" spans="1:8" ht="1.5" customHeight="1" hidden="1" outlineLevel="1">
      <c r="A151" s="39" t="str">
        <f>'Приложение 3'!A153</f>
        <v>Содержание на территории муниципального района межпоселенческих мест захоронения, организация ритуальных услуг</v>
      </c>
      <c r="B151" s="64" t="str">
        <f>'Приложение 3'!C153</f>
        <v>0503</v>
      </c>
      <c r="C151" s="64" t="str">
        <f>'Приложение 3'!D153</f>
        <v>99</v>
      </c>
      <c r="D151" s="64">
        <f>'Приложение 3'!E153</f>
        <v>0</v>
      </c>
      <c r="E151" s="64">
        <f>'Приложение 3'!F153</f>
        <v>200</v>
      </c>
      <c r="F151" s="51">
        <f>'Приложение 3'!G153</f>
        <v>0</v>
      </c>
      <c r="G151" s="51">
        <f>'Приложение 3'!H153</f>
        <v>0</v>
      </c>
      <c r="H151" s="88" t="e">
        <f t="shared" si="2"/>
        <v>#DIV/0!</v>
      </c>
    </row>
    <row r="152" spans="1:8" ht="24" hidden="1" outlineLevel="1">
      <c r="A152" s="39" t="str">
        <f>'Приложение 3'!A154</f>
        <v>Муниципальная программа "Комплексное развитие сельских территорий"</v>
      </c>
      <c r="B152" s="64" t="str">
        <f>'Приложение 3'!C154</f>
        <v>0503</v>
      </c>
      <c r="C152" s="64" t="str">
        <f>'Приложение 3'!D154</f>
        <v>03</v>
      </c>
      <c r="D152" s="64">
        <f>'Приложение 3'!E154</f>
        <v>0</v>
      </c>
      <c r="E152" s="64"/>
      <c r="F152" s="51">
        <f>'Приложение 3'!G154</f>
        <v>0</v>
      </c>
      <c r="G152" s="51">
        <f>'Приложение 3'!H154</f>
        <v>0</v>
      </c>
      <c r="H152" s="88" t="e">
        <f t="shared" si="2"/>
        <v>#DIV/0!</v>
      </c>
    </row>
    <row r="153" spans="1:8" ht="24" hidden="1" outlineLevel="1">
      <c r="A153" s="39" t="str">
        <f>'Приложение 3'!A155</f>
        <v>Предоставление субсидий бюджетным, автономным учреждениям и иным некоммерческим организациям</v>
      </c>
      <c r="B153" s="64" t="str">
        <f>'Приложение 3'!C155</f>
        <v>0503</v>
      </c>
      <c r="C153" s="64" t="str">
        <f>'Приложение 3'!D155</f>
        <v>03</v>
      </c>
      <c r="D153" s="64">
        <f>'Приложение 3'!E155</f>
        <v>0</v>
      </c>
      <c r="E153" s="64">
        <f>'Приложение 3'!F155</f>
        <v>600</v>
      </c>
      <c r="F153" s="51">
        <f>'Приложение 3'!G155</f>
        <v>0</v>
      </c>
      <c r="G153" s="51">
        <f>'Приложение 3'!H155</f>
        <v>0</v>
      </c>
      <c r="H153" s="88" t="e">
        <f t="shared" si="2"/>
        <v>#DIV/0!</v>
      </c>
    </row>
    <row r="154" spans="1:8" ht="12.75" outlineLevel="2">
      <c r="A154" s="39" t="str">
        <f>'Приложение 3'!A156</f>
        <v>Охрана окружающей среды</v>
      </c>
      <c r="B154" s="64" t="str">
        <f>'Приложение 3'!C156</f>
        <v>0600</v>
      </c>
      <c r="C154" s="64">
        <f>'Приложение 3'!D156</f>
        <v>0</v>
      </c>
      <c r="D154" s="64">
        <f>'Приложение 3'!E156</f>
        <v>0</v>
      </c>
      <c r="E154" s="64"/>
      <c r="F154" s="51">
        <f>'Приложение 3'!G156</f>
        <v>835</v>
      </c>
      <c r="G154" s="51">
        <f>'Приложение 3'!H156</f>
        <v>0</v>
      </c>
      <c r="H154" s="88">
        <f t="shared" si="2"/>
        <v>0</v>
      </c>
    </row>
    <row r="155" spans="1:8" ht="24" outlineLevel="5">
      <c r="A155" s="39" t="str">
        <f>'Приложение 3'!A157</f>
        <v>Муниципальная программа "Охрана окружающей среды Алексеевского муниципального района на 2024-2026 годы"</v>
      </c>
      <c r="B155" s="64" t="str">
        <f>'Приложение 3'!C157</f>
        <v>0605</v>
      </c>
      <c r="C155" s="64" t="str">
        <f>'Приложение 3'!D157</f>
        <v>05</v>
      </c>
      <c r="D155" s="64">
        <f>'Приложение 3'!E157</f>
        <v>0</v>
      </c>
      <c r="E155" s="64"/>
      <c r="F155" s="51">
        <f>'Приложение 3'!G157</f>
        <v>835</v>
      </c>
      <c r="G155" s="51">
        <f>'Приложение 3'!H157</f>
        <v>0</v>
      </c>
      <c r="H155" s="88">
        <f t="shared" si="2"/>
        <v>0</v>
      </c>
    </row>
    <row r="156" spans="1:8" ht="24" outlineLevel="5">
      <c r="A156" s="39" t="str">
        <f>'Приложение 3'!A158</f>
        <v>Закупка товаров, работ и услуг для государственных (муниципальных) нужд</v>
      </c>
      <c r="B156" s="64" t="str">
        <f>'Приложение 3'!C158</f>
        <v>0605</v>
      </c>
      <c r="C156" s="64" t="str">
        <f>'Приложение 3'!D158</f>
        <v>05</v>
      </c>
      <c r="D156" s="64">
        <f>'Приложение 3'!E158</f>
        <v>0</v>
      </c>
      <c r="E156" s="64">
        <f>'Приложение 3'!F158</f>
        <v>200</v>
      </c>
      <c r="F156" s="51">
        <f>'Приложение 3'!G158</f>
        <v>835</v>
      </c>
      <c r="G156" s="51">
        <f>'Приложение 3'!H158</f>
        <v>0</v>
      </c>
      <c r="H156" s="88">
        <f t="shared" si="2"/>
        <v>0</v>
      </c>
    </row>
    <row r="157" spans="1:8" ht="24" hidden="1" outlineLevel="5">
      <c r="A157" s="39" t="str">
        <f>'Приложение 3'!A159</f>
        <v>Предоставление субсидий бюджетным, автономным учреждениям и иным некоммерческим организациям</v>
      </c>
      <c r="B157" s="64" t="str">
        <f>'Приложение 3'!C159</f>
        <v>0605</v>
      </c>
      <c r="C157" s="64" t="str">
        <f>'Приложение 3'!D159</f>
        <v>05</v>
      </c>
      <c r="D157" s="64">
        <f>'Приложение 3'!E159</f>
        <v>0</v>
      </c>
      <c r="E157" s="64">
        <f>'Приложение 3'!F159</f>
        <v>600</v>
      </c>
      <c r="F157" s="51">
        <f>'Приложение 3'!G159</f>
        <v>0</v>
      </c>
      <c r="G157" s="51">
        <f>'Приложение 3'!H159</f>
        <v>0</v>
      </c>
      <c r="H157" s="88" t="e">
        <f t="shared" si="2"/>
        <v>#DIV/0!</v>
      </c>
    </row>
    <row r="158" spans="1:8" ht="12.75" outlineLevel="5">
      <c r="A158" s="39" t="str">
        <f>'Приложение 3'!A160</f>
        <v>Образование</v>
      </c>
      <c r="B158" s="64" t="str">
        <f>'Приложение 3'!C160</f>
        <v>0700</v>
      </c>
      <c r="C158" s="64"/>
      <c r="D158" s="64"/>
      <c r="E158" s="64"/>
      <c r="F158" s="51">
        <f>'Приложение 3'!G160</f>
        <v>404096.0003100001</v>
      </c>
      <c r="G158" s="51">
        <f>'Приложение 3'!H160</f>
        <v>61751.521219999995</v>
      </c>
      <c r="H158" s="88">
        <f t="shared" si="2"/>
        <v>15.281398769754622</v>
      </c>
    </row>
    <row r="159" spans="1:8" ht="12.75" outlineLevel="2">
      <c r="A159" s="39" t="str">
        <f>'Приложение 3'!A161</f>
        <v>Дошкольное образование</v>
      </c>
      <c r="B159" s="64" t="str">
        <f>'Приложение 3'!C161</f>
        <v>0701</v>
      </c>
      <c r="C159" s="64"/>
      <c r="D159" s="64"/>
      <c r="E159" s="64"/>
      <c r="F159" s="51">
        <f>'Приложение 3'!G161</f>
        <v>41743.65543</v>
      </c>
      <c r="G159" s="51">
        <f>'Приложение 3'!H161</f>
        <v>9439.52011</v>
      </c>
      <c r="H159" s="88">
        <f t="shared" si="2"/>
        <v>22.613065417400126</v>
      </c>
    </row>
    <row r="160" spans="1:8" ht="38.25" customHeight="1" outlineLevel="2">
      <c r="A160" s="39" t="str">
        <f>'Приложение 3'!A162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60" s="64" t="str">
        <f>'Приложение 3'!C162</f>
        <v>0701</v>
      </c>
      <c r="C160" s="64" t="str">
        <f>'Приложение 3'!D162</f>
        <v>02</v>
      </c>
      <c r="D160" s="64">
        <f>'Приложение 3'!E162</f>
        <v>0</v>
      </c>
      <c r="E160" s="64"/>
      <c r="F160" s="51">
        <f>'Приложение 3'!G162</f>
        <v>202</v>
      </c>
      <c r="G160" s="51">
        <f>'Приложение 3'!H162</f>
        <v>0</v>
      </c>
      <c r="H160" s="88">
        <f t="shared" si="2"/>
        <v>0</v>
      </c>
    </row>
    <row r="161" spans="1:8" ht="36" hidden="1" outlineLevel="2">
      <c r="A161" s="39" t="str">
        <f>'Приложение 3'!A163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61" s="64" t="str">
        <f>'Приложение 3'!C163</f>
        <v>0701</v>
      </c>
      <c r="C161" s="64" t="str">
        <f>'Приложение 3'!D163</f>
        <v>02</v>
      </c>
      <c r="D161" s="64">
        <f>'Приложение 3'!E163</f>
        <v>3</v>
      </c>
      <c r="E161" s="64"/>
      <c r="F161" s="51">
        <f>'Приложение 3'!G163</f>
        <v>0</v>
      </c>
      <c r="G161" s="51">
        <f>'Приложение 3'!H163</f>
        <v>0</v>
      </c>
      <c r="H161" s="88" t="e">
        <f t="shared" si="2"/>
        <v>#DIV/0!</v>
      </c>
    </row>
    <row r="162" spans="1:8" ht="21" customHeight="1" hidden="1" outlineLevel="2">
      <c r="A162" s="39" t="str">
        <f>'Приложение 3'!A164</f>
        <v>Капитальные вложения в объекты государственной (муниципальной) собственности</v>
      </c>
      <c r="B162" s="64" t="str">
        <f>'Приложение 3'!C164</f>
        <v>0701</v>
      </c>
      <c r="C162" s="64" t="str">
        <f>'Приложение 3'!D164</f>
        <v>02</v>
      </c>
      <c r="D162" s="64">
        <f>'Приложение 3'!E164</f>
        <v>3</v>
      </c>
      <c r="E162" s="64" t="s">
        <v>125</v>
      </c>
      <c r="F162" s="51">
        <f>'Приложение 3'!G164</f>
        <v>0</v>
      </c>
      <c r="G162" s="51">
        <f>'Приложение 3'!H164</f>
        <v>0</v>
      </c>
      <c r="H162" s="88" t="e">
        <f t="shared" si="2"/>
        <v>#DIV/0!</v>
      </c>
    </row>
    <row r="163" spans="1:8" ht="24" hidden="1" outlineLevel="2">
      <c r="A163" s="39" t="str">
        <f>'Приложение 3'!A165</f>
        <v>Предоставление субсидий бюджетным, автономным учреждениям и иным некоммерческим организациям</v>
      </c>
      <c r="B163" s="64" t="str">
        <f>'Приложение 3'!C165</f>
        <v>0701</v>
      </c>
      <c r="C163" s="64" t="str">
        <f>'Приложение 3'!D165</f>
        <v>02</v>
      </c>
      <c r="D163" s="64">
        <f>'Приложение 3'!E165</f>
        <v>3</v>
      </c>
      <c r="E163" s="64">
        <f>'Приложение 3'!F165</f>
        <v>600</v>
      </c>
      <c r="F163" s="51">
        <f>'Приложение 3'!G165</f>
        <v>0</v>
      </c>
      <c r="G163" s="51">
        <f>'Приложение 3'!H165</f>
        <v>0</v>
      </c>
      <c r="H163" s="88" t="e">
        <f t="shared" si="2"/>
        <v>#DIV/0!</v>
      </c>
    </row>
    <row r="164" spans="1:8" ht="38.25" customHeight="1" outlineLevel="2">
      <c r="A164" s="39" t="str">
        <f>'Приложение 3'!A166</f>
        <v>Подпрограмма "Энергосбережение и повышение энергетической эффективности Алексеевского муниципального района"</v>
      </c>
      <c r="B164" s="64" t="str">
        <f>'Приложение 3'!C166</f>
        <v>0701</v>
      </c>
      <c r="C164" s="64" t="str">
        <f>'Приложение 3'!D166</f>
        <v>02</v>
      </c>
      <c r="D164" s="64">
        <f>'Приложение 3'!E166</f>
        <v>4</v>
      </c>
      <c r="E164" s="64"/>
      <c r="F164" s="51">
        <f>'Приложение 3'!G166</f>
        <v>202</v>
      </c>
      <c r="G164" s="51">
        <f>'Приложение 3'!H166</f>
        <v>0</v>
      </c>
      <c r="H164" s="88">
        <f t="shared" si="2"/>
        <v>0</v>
      </c>
    </row>
    <row r="165" spans="1:8" ht="24" outlineLevel="2">
      <c r="A165" s="39" t="str">
        <f>'Приложение 3'!A167</f>
        <v>Предоставление субсидий бюджетным, автономным учреждениям и иным некоммерческим организациям</v>
      </c>
      <c r="B165" s="64" t="str">
        <f>'Приложение 3'!C167</f>
        <v>0701</v>
      </c>
      <c r="C165" s="64" t="str">
        <f>'Приложение 3'!D167</f>
        <v>02</v>
      </c>
      <c r="D165" s="64">
        <f>'Приложение 3'!E167</f>
        <v>4</v>
      </c>
      <c r="E165" s="64">
        <f>'Приложение 3'!F167</f>
        <v>600</v>
      </c>
      <c r="F165" s="51">
        <f>'Приложение 3'!G167</f>
        <v>202</v>
      </c>
      <c r="G165" s="51">
        <f>'Приложение 3'!H167</f>
        <v>0</v>
      </c>
      <c r="H165" s="88">
        <f t="shared" si="2"/>
        <v>0</v>
      </c>
    </row>
    <row r="166" spans="1:8" ht="96" outlineLevel="2">
      <c r="A166" s="39" t="str">
        <f>'Приложение 3'!A168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66" s="64" t="str">
        <f>'Приложение 3'!C168</f>
        <v>0701</v>
      </c>
      <c r="C166" s="64" t="str">
        <f>'Приложение 3'!D168</f>
        <v>22</v>
      </c>
      <c r="D166" s="64">
        <f>'Приложение 3'!E168</f>
        <v>0</v>
      </c>
      <c r="E166" s="64"/>
      <c r="F166" s="51">
        <f>'Приложение 3'!G168</f>
        <v>137.05543</v>
      </c>
      <c r="G166" s="51">
        <f>'Приложение 3'!H168</f>
        <v>0</v>
      </c>
      <c r="H166" s="88">
        <f t="shared" si="2"/>
        <v>0</v>
      </c>
    </row>
    <row r="167" spans="1:8" ht="24" outlineLevel="2">
      <c r="A167" s="39" t="str">
        <f>'Приложение 3'!A169</f>
        <v>Предоставление субсидий бюджетным, автономным учреждениям и иным некоммерческим организациям</v>
      </c>
      <c r="B167" s="64" t="str">
        <f>'Приложение 3'!C169</f>
        <v>0701</v>
      </c>
      <c r="C167" s="64" t="str">
        <f>'Приложение 3'!D169</f>
        <v>22</v>
      </c>
      <c r="D167" s="64">
        <f>'Приложение 3'!E169</f>
        <v>0</v>
      </c>
      <c r="E167" s="64">
        <f>'Приложение 3'!F169</f>
        <v>600</v>
      </c>
      <c r="F167" s="51">
        <f>'Приложение 3'!G169</f>
        <v>137.05543</v>
      </c>
      <c r="G167" s="51">
        <f>'Приложение 3'!H169</f>
        <v>0</v>
      </c>
      <c r="H167" s="88">
        <f t="shared" si="2"/>
        <v>0</v>
      </c>
    </row>
    <row r="168" spans="1:8" ht="36" outlineLevel="2">
      <c r="A168" s="39" t="str">
        <f>'Приложение 3'!A170</f>
        <v>Муниципальная программа "Развитие дошкольного образования детей на территории Алексеевского муниципального района на 2024-2026 годы"</v>
      </c>
      <c r="B168" s="64" t="str">
        <f>'Приложение 3'!C170</f>
        <v>0701</v>
      </c>
      <c r="C168" s="64" t="str">
        <f>'Приложение 3'!D170</f>
        <v>52</v>
      </c>
      <c r="D168" s="64">
        <f>'Приложение 3'!E170</f>
        <v>0</v>
      </c>
      <c r="E168" s="64"/>
      <c r="F168" s="51">
        <f>'Приложение 3'!G170</f>
        <v>27015.100000000002</v>
      </c>
      <c r="G168" s="51">
        <f>'Приложение 3'!H170</f>
        <v>6684.9384</v>
      </c>
      <c r="H168" s="88">
        <f t="shared" si="2"/>
        <v>24.74519213328842</v>
      </c>
    </row>
    <row r="169" spans="1:8" ht="24" outlineLevel="2">
      <c r="A169" s="39" t="str">
        <f>'Приложение 3'!A171</f>
        <v>Предоставление субсидий бюджетным, автономным учреждениям и иным некоммерческим организациям</v>
      </c>
      <c r="B169" s="64" t="str">
        <f>'Приложение 3'!C171</f>
        <v>0701</v>
      </c>
      <c r="C169" s="64" t="str">
        <f>'Приложение 3'!D171</f>
        <v>52</v>
      </c>
      <c r="D169" s="64">
        <f>'Приложение 3'!E171</f>
        <v>0</v>
      </c>
      <c r="E169" s="64">
        <f>'Приложение 3'!F171</f>
        <v>600</v>
      </c>
      <c r="F169" s="51">
        <f>'Приложение 3'!G171</f>
        <v>10610.7</v>
      </c>
      <c r="G169" s="51">
        <f>'Приложение 3'!H171</f>
        <v>3262.15126</v>
      </c>
      <c r="H169" s="88">
        <f t="shared" si="2"/>
        <v>30.74397787139397</v>
      </c>
    </row>
    <row r="170" spans="1:8" ht="36" outlineLevel="2">
      <c r="A170" s="39" t="str">
        <f>'Приложение 3'!A172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70" s="64" t="str">
        <f>'Приложение 3'!C172</f>
        <v>0701</v>
      </c>
      <c r="C170" s="64" t="str">
        <f>'Приложение 3'!D172</f>
        <v>52</v>
      </c>
      <c r="D170" s="64">
        <f>'Приложение 3'!E172</f>
        <v>0</v>
      </c>
      <c r="E170" s="64">
        <f>'Приложение 3'!F172</f>
        <v>600</v>
      </c>
      <c r="F170" s="51">
        <f>'Приложение 3'!G172</f>
        <v>16369.5</v>
      </c>
      <c r="G170" s="51">
        <f>'Приложение 3'!H172</f>
        <v>3420.94454</v>
      </c>
      <c r="H170" s="88">
        <f t="shared" si="2"/>
        <v>20.898283637252206</v>
      </c>
    </row>
    <row r="171" spans="1:8" ht="46.5" customHeight="1" hidden="1" outlineLevel="2">
      <c r="A171" s="39" t="str">
        <f>'Приложение 3'!A173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1" s="64" t="str">
        <f>'Приложение 3'!C173</f>
        <v>0701</v>
      </c>
      <c r="C171" s="64" t="str">
        <f>'Приложение 3'!D173</f>
        <v>52</v>
      </c>
      <c r="D171" s="64">
        <f>'Приложение 3'!E173</f>
        <v>0</v>
      </c>
      <c r="E171" s="64">
        <f>'Приложение 3'!F173</f>
        <v>600</v>
      </c>
      <c r="F171" s="51">
        <f>'Приложение 3'!G173</f>
        <v>0</v>
      </c>
      <c r="G171" s="51">
        <f>'Приложение 3'!H173</f>
        <v>0</v>
      </c>
      <c r="H171" s="88" t="e">
        <f t="shared" si="2"/>
        <v>#DIV/0!</v>
      </c>
    </row>
    <row r="172" spans="1:8" ht="23.25" customHeight="1" outlineLevel="2">
      <c r="A172" s="39" t="str">
        <f>'Приложение 3'!A174</f>
        <v>За счет средств на расходы на осуществление социальных гарантий молодым специалистам</v>
      </c>
      <c r="B172" s="64" t="str">
        <f>'Приложение 3'!C174</f>
        <v>0701</v>
      </c>
      <c r="C172" s="64" t="str">
        <f>'Приложение 3'!D174</f>
        <v>52</v>
      </c>
      <c r="D172" s="64">
        <f>'Приложение 3'!E174</f>
        <v>0</v>
      </c>
      <c r="E172" s="64">
        <f>'Приложение 3'!F174</f>
        <v>600</v>
      </c>
      <c r="F172" s="51">
        <f>'Приложение 3'!G174</f>
        <v>34.9</v>
      </c>
      <c r="G172" s="51">
        <f>'Приложение 3'!H174</f>
        <v>1.8426</v>
      </c>
      <c r="H172" s="88">
        <f t="shared" si="2"/>
        <v>5.279656160458453</v>
      </c>
    </row>
    <row r="173" spans="1:8" ht="108" hidden="1" outlineLevel="2">
      <c r="A173" s="39" t="str">
        <f>'Приложение 3'!A175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3" s="64" t="str">
        <f>'Приложение 3'!C175</f>
        <v>0701</v>
      </c>
      <c r="C173" s="64" t="str">
        <f>'Приложение 3'!D175</f>
        <v>52</v>
      </c>
      <c r="D173" s="64">
        <f>'Приложение 3'!E175</f>
        <v>0</v>
      </c>
      <c r="E173" s="64">
        <f>'Приложение 3'!F175</f>
        <v>600</v>
      </c>
      <c r="F173" s="51">
        <f>'Приложение 3'!G175</f>
        <v>0</v>
      </c>
      <c r="G173" s="51">
        <f>'Приложение 3'!H175</f>
        <v>0</v>
      </c>
      <c r="H173" s="88" t="e">
        <f t="shared" si="2"/>
        <v>#DIV/0!</v>
      </c>
    </row>
    <row r="174" spans="1:8" ht="36" outlineLevel="2">
      <c r="A174" s="39" t="str">
        <f>'Приложение 3'!A176</f>
        <v>Муниципальная программа "Развитие образования детей на территории Алексеевского муниципального района на 2023-2025 годы"</v>
      </c>
      <c r="B174" s="64" t="str">
        <f>'Приложение 3'!C176</f>
        <v>0701</v>
      </c>
      <c r="C174" s="64" t="str">
        <f>'Приложение 3'!D176</f>
        <v>53</v>
      </c>
      <c r="D174" s="64">
        <f>'Приложение 3'!E176</f>
        <v>0</v>
      </c>
      <c r="E174" s="64"/>
      <c r="F174" s="51">
        <f>'Приложение 3'!G176</f>
        <v>14121.9</v>
      </c>
      <c r="G174" s="51">
        <f>'Приложение 3'!H176</f>
        <v>2754.58171</v>
      </c>
      <c r="H174" s="88">
        <f t="shared" si="2"/>
        <v>19.5057443403508</v>
      </c>
    </row>
    <row r="175" spans="1:8" ht="12.75" outlineLevel="2">
      <c r="A175" s="39" t="str">
        <f>'Приложение 3'!A177</f>
        <v>Подпрограмма "Развитие дошкольного образования детей"</v>
      </c>
      <c r="B175" s="64" t="str">
        <f>'Приложение 3'!C177</f>
        <v>0701</v>
      </c>
      <c r="C175" s="64" t="str">
        <f>'Приложение 3'!D177</f>
        <v>53</v>
      </c>
      <c r="D175" s="64">
        <f>'Приложение 3'!E177</f>
        <v>1</v>
      </c>
      <c r="E175" s="64">
        <f>'Приложение 3'!F177</f>
        <v>0</v>
      </c>
      <c r="F175" s="51">
        <f>'Приложение 3'!G177</f>
        <v>14121.9</v>
      </c>
      <c r="G175" s="51">
        <f>'Приложение 3'!H177</f>
        <v>2754.58171</v>
      </c>
      <c r="H175" s="88">
        <f t="shared" si="2"/>
        <v>19.5057443403508</v>
      </c>
    </row>
    <row r="176" spans="1:8" ht="74.25" customHeight="1" outlineLevel="2">
      <c r="A176" s="39" t="str">
        <f>'Приложение 3'!A178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6" s="64" t="str">
        <f>'Приложение 3'!C178</f>
        <v>0701</v>
      </c>
      <c r="C176" s="64" t="str">
        <f>'Приложение 3'!D178</f>
        <v>53</v>
      </c>
      <c r="D176" s="64">
        <f>'Приложение 3'!E178</f>
        <v>1</v>
      </c>
      <c r="E176" s="64">
        <f>'Приложение 3'!F178</f>
        <v>600</v>
      </c>
      <c r="F176" s="51">
        <f>'Приложение 3'!G178</f>
        <v>10121.9</v>
      </c>
      <c r="G176" s="51">
        <f>'Приложение 3'!H178</f>
        <v>1883.58211</v>
      </c>
      <c r="H176" s="88">
        <f t="shared" si="2"/>
        <v>18.608977662296606</v>
      </c>
    </row>
    <row r="177" spans="1:8" ht="51" customHeight="1" hidden="1" outlineLevel="2">
      <c r="A177" s="39" t="str">
        <f>'Приложение 3'!A179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7" s="64" t="str">
        <f>'Приложение 3'!C179</f>
        <v>0701</v>
      </c>
      <c r="C177" s="64" t="str">
        <f>'Приложение 3'!D179</f>
        <v>53</v>
      </c>
      <c r="D177" s="64">
        <f>'Приложение 3'!E179</f>
        <v>1</v>
      </c>
      <c r="E177" s="64">
        <f>'Приложение 3'!F179</f>
        <v>600</v>
      </c>
      <c r="F177" s="51">
        <f>'Приложение 3'!G179</f>
        <v>0</v>
      </c>
      <c r="G177" s="51">
        <f>'Приложение 3'!H179</f>
        <v>0</v>
      </c>
      <c r="H177" s="88" t="e">
        <f t="shared" si="2"/>
        <v>#DIV/0!</v>
      </c>
    </row>
    <row r="178" spans="1:8" ht="24" outlineLevel="2">
      <c r="A178" s="39" t="str">
        <f>'Приложение 3'!A180</f>
        <v>Предоставление субсидий бюджетным, автономным учреждениям и иным некоммерческим организациям</v>
      </c>
      <c r="B178" s="64" t="str">
        <f>'Приложение 3'!C180</f>
        <v>0701</v>
      </c>
      <c r="C178" s="64" t="str">
        <f>'Приложение 3'!D180</f>
        <v>53</v>
      </c>
      <c r="D178" s="64">
        <f>'Приложение 3'!E180</f>
        <v>1</v>
      </c>
      <c r="E178" s="64">
        <f>'Приложение 3'!F180</f>
        <v>600</v>
      </c>
      <c r="F178" s="51">
        <f>'Приложение 3'!G180</f>
        <v>4000</v>
      </c>
      <c r="G178" s="51">
        <f>'Приложение 3'!H180</f>
        <v>870.9996</v>
      </c>
      <c r="H178" s="88">
        <f t="shared" si="2"/>
        <v>21.77499</v>
      </c>
    </row>
    <row r="179" spans="1:8" ht="24" outlineLevel="2">
      <c r="A179" s="39" t="str">
        <f>'Приложение 3'!A181</f>
        <v>Непрограммные расходы органов местного самоуправления Алексеевского муниципального района</v>
      </c>
      <c r="B179" s="64" t="str">
        <f>'Приложение 3'!C181</f>
        <v>0701</v>
      </c>
      <c r="C179" s="64" t="str">
        <f>'Приложение 3'!D181</f>
        <v>99</v>
      </c>
      <c r="D179" s="64">
        <f>'Приложение 3'!E181</f>
        <v>0</v>
      </c>
      <c r="E179" s="64"/>
      <c r="F179" s="51">
        <f>'Приложение 3'!G181</f>
        <v>267.6</v>
      </c>
      <c r="G179" s="51">
        <f>'Приложение 3'!H181</f>
        <v>0</v>
      </c>
      <c r="H179" s="88">
        <f t="shared" si="2"/>
        <v>0</v>
      </c>
    </row>
    <row r="180" spans="1:8" ht="12.75" outlineLevel="2">
      <c r="A180" s="39" t="str">
        <f>'Приложение 3'!A182</f>
        <v>Резервный фонд Администрации Волгоградской области</v>
      </c>
      <c r="B180" s="64" t="str">
        <f>'Приложение 3'!C182</f>
        <v>0701</v>
      </c>
      <c r="C180" s="64" t="str">
        <f>'Приложение 3'!D182</f>
        <v>99</v>
      </c>
      <c r="D180" s="64">
        <f>'Приложение 3'!E182</f>
        <v>0</v>
      </c>
      <c r="E180" s="64">
        <f>'Приложение 3'!F182</f>
        <v>0</v>
      </c>
      <c r="F180" s="51">
        <f>'Приложение 3'!G182</f>
        <v>267.6</v>
      </c>
      <c r="G180" s="51">
        <f>'Приложение 3'!H182</f>
        <v>0</v>
      </c>
      <c r="H180" s="88">
        <f t="shared" si="2"/>
        <v>0</v>
      </c>
    </row>
    <row r="181" spans="1:8" ht="24" outlineLevel="2">
      <c r="A181" s="39" t="str">
        <f>'Приложение 3'!A183</f>
        <v>Предоставление субсидий бюджетным, автономным учреждениям и иным некоммерческим организациям</v>
      </c>
      <c r="B181" s="64" t="str">
        <f>'Приложение 3'!C183</f>
        <v>0701</v>
      </c>
      <c r="C181" s="64" t="str">
        <f>'Приложение 3'!D183</f>
        <v>99</v>
      </c>
      <c r="D181" s="64">
        <f>'Приложение 3'!E183</f>
        <v>0</v>
      </c>
      <c r="E181" s="64">
        <f>'Приложение 3'!F183</f>
        <v>600</v>
      </c>
      <c r="F181" s="51">
        <f>'Приложение 3'!G183</f>
        <v>267.6</v>
      </c>
      <c r="G181" s="51">
        <f>'Приложение 3'!H183</f>
        <v>0</v>
      </c>
      <c r="H181" s="88">
        <f t="shared" si="2"/>
        <v>0</v>
      </c>
    </row>
    <row r="182" spans="1:8" ht="16.5" customHeight="1" outlineLevel="5">
      <c r="A182" s="39" t="str">
        <f>'Приложение 3'!A184</f>
        <v>Общее образование</v>
      </c>
      <c r="B182" s="64" t="str">
        <f>'Приложение 3'!C184</f>
        <v>0702</v>
      </c>
      <c r="C182" s="64"/>
      <c r="D182" s="64"/>
      <c r="E182" s="64"/>
      <c r="F182" s="51">
        <f>'Приложение 3'!G184</f>
        <v>337905.6649000001</v>
      </c>
      <c r="G182" s="51">
        <f>'Приложение 3'!H184</f>
        <v>47463.74797999999</v>
      </c>
      <c r="H182" s="88">
        <f t="shared" si="2"/>
        <v>14.046449323081466</v>
      </c>
    </row>
    <row r="183" spans="1:8" ht="24" outlineLevel="5">
      <c r="A183" s="39" t="str">
        <f>'Приложение 3'!A185</f>
        <v>Школы-детские сады, школы начальные, неполные средние и средние</v>
      </c>
      <c r="B183" s="64" t="str">
        <f>'Приложение 3'!C185</f>
        <v>0702</v>
      </c>
      <c r="C183" s="64"/>
      <c r="D183" s="64"/>
      <c r="E183" s="64"/>
      <c r="F183" s="51">
        <f>'Приложение 3'!G185</f>
        <v>337905.6649000001</v>
      </c>
      <c r="G183" s="51">
        <f>'Приложение 3'!H185</f>
        <v>47463.74797999999</v>
      </c>
      <c r="H183" s="88">
        <f t="shared" si="2"/>
        <v>14.046449323081466</v>
      </c>
    </row>
    <row r="184" spans="1:8" ht="36.75" customHeight="1" outlineLevel="5">
      <c r="A184" s="39" t="str">
        <f>'Приложение 3'!A186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4" s="64" t="str">
        <f>'Приложение 3'!C186</f>
        <v>0702</v>
      </c>
      <c r="C184" s="64" t="str">
        <f>'Приложение 3'!D186</f>
        <v>02</v>
      </c>
      <c r="D184" s="64">
        <f>'Приложение 3'!E186</f>
        <v>0</v>
      </c>
      <c r="E184" s="64"/>
      <c r="F184" s="51">
        <f>'Приложение 3'!G186</f>
        <v>1269.70958</v>
      </c>
      <c r="G184" s="51">
        <f>'Приложение 3'!H186</f>
        <v>816.0571</v>
      </c>
      <c r="H184" s="88">
        <f t="shared" si="2"/>
        <v>64.27116191404967</v>
      </c>
    </row>
    <row r="185" spans="1:8" ht="37.5" customHeight="1" outlineLevel="5">
      <c r="A185" s="39" t="str">
        <f>'Приложение 3'!A187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5" s="64" t="str">
        <f>'Приложение 3'!C187</f>
        <v>0702</v>
      </c>
      <c r="C185" s="64" t="str">
        <f>'Приложение 3'!D187</f>
        <v>02</v>
      </c>
      <c r="D185" s="64">
        <f>'Приложение 3'!E187</f>
        <v>3</v>
      </c>
      <c r="E185" s="64"/>
      <c r="F185" s="51">
        <f>'Приложение 3'!G187</f>
        <v>422.70958</v>
      </c>
      <c r="G185" s="51">
        <f>'Приложение 3'!H187</f>
        <v>373.0361</v>
      </c>
      <c r="H185" s="88">
        <f t="shared" si="2"/>
        <v>88.24879246881511</v>
      </c>
    </row>
    <row r="186" spans="1:8" ht="24" hidden="1" outlineLevel="5">
      <c r="A186" s="39" t="str">
        <f>'Приложение 3'!A188</f>
        <v>Закупка товаров, работ и услуг для государственных (муниципальных) нужд</v>
      </c>
      <c r="B186" s="64" t="str">
        <f>'Приложение 3'!C188</f>
        <v>0702</v>
      </c>
      <c r="C186" s="64" t="str">
        <f>'Приложение 3'!D188</f>
        <v>02</v>
      </c>
      <c r="D186" s="64">
        <f>'Приложение 3'!E188</f>
        <v>3</v>
      </c>
      <c r="E186" s="64" t="s">
        <v>25</v>
      </c>
      <c r="F186" s="51">
        <f>'Приложение 3'!G188</f>
        <v>0</v>
      </c>
      <c r="G186" s="51">
        <f>'Приложение 3'!H188</f>
        <v>0</v>
      </c>
      <c r="H186" s="88" t="e">
        <f t="shared" si="2"/>
        <v>#DIV/0!</v>
      </c>
    </row>
    <row r="187" spans="1:8" ht="28.5" customHeight="1" outlineLevel="5">
      <c r="A187" s="39" t="str">
        <f>'Приложение 3'!A189</f>
        <v>Предоставление субсидий бюджетным, автономным учреждениям и иным некоммерческим организациям</v>
      </c>
      <c r="B187" s="64" t="str">
        <f>'Приложение 3'!C189</f>
        <v>0702</v>
      </c>
      <c r="C187" s="64" t="str">
        <f>'Приложение 3'!D189</f>
        <v>02</v>
      </c>
      <c r="D187" s="64">
        <f>'Приложение 3'!E189</f>
        <v>3</v>
      </c>
      <c r="E187" s="64">
        <f>'Приложение 3'!F189</f>
        <v>600</v>
      </c>
      <c r="F187" s="51">
        <f>'Приложение 3'!G189</f>
        <v>422.70958</v>
      </c>
      <c r="G187" s="51">
        <f>'Приложение 3'!H189</f>
        <v>373.0361</v>
      </c>
      <c r="H187" s="88">
        <f t="shared" si="2"/>
        <v>88.24879246881511</v>
      </c>
    </row>
    <row r="188" spans="1:8" ht="36.75" customHeight="1" outlineLevel="5">
      <c r="A188" s="39" t="str">
        <f>'Приложение 3'!A190</f>
        <v>Подпрограмма "Энергосбережение и повышение энергетической эффективности Алексеевского муниципального района"</v>
      </c>
      <c r="B188" s="64" t="str">
        <f>'Приложение 3'!C190</f>
        <v>0702</v>
      </c>
      <c r="C188" s="64" t="str">
        <f>'Приложение 3'!D190</f>
        <v>02</v>
      </c>
      <c r="D188" s="64">
        <f>'Приложение 3'!E190</f>
        <v>4</v>
      </c>
      <c r="E188" s="64"/>
      <c r="F188" s="51">
        <f>'Приложение 3'!G190</f>
        <v>847</v>
      </c>
      <c r="G188" s="51">
        <f>'Приложение 3'!H190</f>
        <v>443.021</v>
      </c>
      <c r="H188" s="88">
        <f t="shared" si="2"/>
        <v>52.3047225501771</v>
      </c>
    </row>
    <row r="189" spans="1:8" ht="24" outlineLevel="5">
      <c r="A189" s="39" t="str">
        <f>'Приложение 3'!A191</f>
        <v>Закупка товаров, работ и услуг для государственных (муниципальных) нужд</v>
      </c>
      <c r="B189" s="64" t="str">
        <f>'Приложение 3'!C191</f>
        <v>0702</v>
      </c>
      <c r="C189" s="64" t="str">
        <f>'Приложение 3'!D191</f>
        <v>02</v>
      </c>
      <c r="D189" s="64">
        <f>'Приложение 3'!E191</f>
        <v>4</v>
      </c>
      <c r="E189" s="64">
        <f>'Приложение 3'!F191</f>
        <v>200</v>
      </c>
      <c r="F189" s="51">
        <f>'Приложение 3'!G191</f>
        <v>40</v>
      </c>
      <c r="G189" s="51">
        <f>'Приложение 3'!H191</f>
        <v>0</v>
      </c>
      <c r="H189" s="88">
        <f t="shared" si="2"/>
        <v>0</v>
      </c>
    </row>
    <row r="190" spans="1:8" ht="21.75" customHeight="1" outlineLevel="5">
      <c r="A190" s="39" t="str">
        <f>'Приложение 3'!A192</f>
        <v>Предоставление субсидий бюджетным, автономным учреждениям и иным некоммерческим организациям</v>
      </c>
      <c r="B190" s="64" t="str">
        <f>'Приложение 3'!C192</f>
        <v>0702</v>
      </c>
      <c r="C190" s="64" t="str">
        <f>'Приложение 3'!D192</f>
        <v>02</v>
      </c>
      <c r="D190" s="64">
        <f>'Приложение 3'!E192</f>
        <v>4</v>
      </c>
      <c r="E190" s="64">
        <f>'Приложение 3'!F192</f>
        <v>600</v>
      </c>
      <c r="F190" s="51">
        <f>'Приложение 3'!G192</f>
        <v>807</v>
      </c>
      <c r="G190" s="51">
        <f>'Приложение 3'!H192</f>
        <v>443.021</v>
      </c>
      <c r="H190" s="88">
        <f t="shared" si="2"/>
        <v>54.897273853779424</v>
      </c>
    </row>
    <row r="191" spans="1:8" ht="60" hidden="1" outlineLevel="5">
      <c r="A191" s="39" t="str">
        <f>'Приложение 3'!A193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91" s="64" t="str">
        <f>'Приложение 3'!C193</f>
        <v>0702</v>
      </c>
      <c r="C191" s="64" t="str">
        <f>'Приложение 3'!D193</f>
        <v>02</v>
      </c>
      <c r="D191" s="64">
        <f>'Приложение 3'!E193</f>
        <v>4</v>
      </c>
      <c r="E191" s="64">
        <f>'Приложение 3'!F193</f>
        <v>600</v>
      </c>
      <c r="F191" s="51">
        <f>'Приложение 3'!G193</f>
        <v>0</v>
      </c>
      <c r="G191" s="51">
        <f>'Приложение 3'!H193</f>
        <v>0</v>
      </c>
      <c r="H191" s="88" t="e">
        <f t="shared" si="2"/>
        <v>#DIV/0!</v>
      </c>
    </row>
    <row r="192" spans="1:8" ht="36" hidden="1" outlineLevel="5">
      <c r="A192" s="39" t="str">
        <f>'Приложение 3'!A194</f>
        <v>Муниципальная программа "Развитие физической культуры и спорта в Алексеевском муниципальном районе на 2019-2023 годы"</v>
      </c>
      <c r="B192" s="64" t="str">
        <f>'Приложение 3'!C194</f>
        <v>0702</v>
      </c>
      <c r="C192" s="64" t="str">
        <f>'Приложение 3'!D194</f>
        <v>17</v>
      </c>
      <c r="D192" s="64">
        <f>'Приложение 3'!E194</f>
        <v>0</v>
      </c>
      <c r="E192" s="64"/>
      <c r="F192" s="51">
        <f>'Приложение 3'!G194</f>
        <v>0</v>
      </c>
      <c r="G192" s="51">
        <f>'Приложение 3'!H194</f>
        <v>0</v>
      </c>
      <c r="H192" s="88" t="e">
        <f t="shared" si="2"/>
        <v>#DIV/0!</v>
      </c>
    </row>
    <row r="193" spans="1:8" ht="84" hidden="1" outlineLevel="5">
      <c r="A193" s="39" t="str">
        <f>'Приложение 3'!A195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3" s="64" t="str">
        <f>'Приложение 3'!C195</f>
        <v>0702</v>
      </c>
      <c r="C193" s="64" t="str">
        <f>'Приложение 3'!D195</f>
        <v>17</v>
      </c>
      <c r="D193" s="64">
        <f>'Приложение 3'!E195</f>
        <v>0</v>
      </c>
      <c r="E193" s="64">
        <f>'Приложение 3'!F195</f>
        <v>600</v>
      </c>
      <c r="F193" s="51">
        <f>'Приложение 3'!G195</f>
        <v>0</v>
      </c>
      <c r="G193" s="51">
        <f>'Приложение 3'!H195</f>
        <v>0</v>
      </c>
      <c r="H193" s="88" t="e">
        <f t="shared" si="2"/>
        <v>#DIV/0!</v>
      </c>
    </row>
    <row r="194" spans="1:8" ht="84" hidden="1" outlineLevel="5">
      <c r="A194" s="39" t="str">
        <f>'Приложение 3'!A196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4" s="64" t="str">
        <f>'Приложение 3'!C196</f>
        <v>0702</v>
      </c>
      <c r="C194" s="64" t="str">
        <f>'Приложение 3'!D196</f>
        <v>17</v>
      </c>
      <c r="D194" s="64">
        <f>'Приложение 3'!E196</f>
        <v>0</v>
      </c>
      <c r="E194" s="64">
        <f>'Приложение 3'!F196</f>
        <v>600</v>
      </c>
      <c r="F194" s="51">
        <f>'Приложение 3'!G196</f>
        <v>0</v>
      </c>
      <c r="G194" s="51">
        <f>'Приложение 3'!H196</f>
        <v>0</v>
      </c>
      <c r="H194" s="88" t="e">
        <f t="shared" si="2"/>
        <v>#DIV/0!</v>
      </c>
    </row>
    <row r="195" spans="1:8" ht="96" outlineLevel="5">
      <c r="A195" s="39" t="str">
        <f>'Приложение 3'!A197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95" s="64" t="str">
        <f>'Приложение 3'!C197</f>
        <v>0702</v>
      </c>
      <c r="C195" s="64" t="str">
        <f>'Приложение 3'!D197</f>
        <v>22</v>
      </c>
      <c r="D195" s="64">
        <f>'Приложение 3'!E197</f>
        <v>0</v>
      </c>
      <c r="E195" s="64"/>
      <c r="F195" s="51">
        <f>'Приложение 3'!G197</f>
        <v>1371.1667899999998</v>
      </c>
      <c r="G195" s="51">
        <f>'Приложение 3'!H197</f>
        <v>0</v>
      </c>
      <c r="H195" s="88">
        <f t="shared" si="2"/>
        <v>0</v>
      </c>
    </row>
    <row r="196" spans="1:8" ht="24" outlineLevel="5">
      <c r="A196" s="39" t="str">
        <f>'Приложение 3'!A198</f>
        <v>Закупка товаров, работ и услуг для государственных (муниципальных) нужд</v>
      </c>
      <c r="B196" s="64" t="str">
        <f>'Приложение 3'!C198</f>
        <v>0702</v>
      </c>
      <c r="C196" s="64" t="str">
        <f>'Приложение 3'!D198</f>
        <v>22</v>
      </c>
      <c r="D196" s="64">
        <f>'Приложение 3'!E198</f>
        <v>0</v>
      </c>
      <c r="E196" s="64">
        <f>'Приложение 3'!F198</f>
        <v>200</v>
      </c>
      <c r="F196" s="51">
        <f>'Приложение 3'!G198</f>
        <v>50.72022</v>
      </c>
      <c r="G196" s="51">
        <f>'Приложение 3'!H198</f>
        <v>0</v>
      </c>
      <c r="H196" s="88">
        <f t="shared" si="2"/>
        <v>0</v>
      </c>
    </row>
    <row r="197" spans="1:8" ht="24" outlineLevel="5">
      <c r="A197" s="39" t="str">
        <f>'Приложение 3'!A199</f>
        <v>Предоставление субсидий бюджетным, автономным учреждениям и иным некоммерческим организациям</v>
      </c>
      <c r="B197" s="64" t="str">
        <f>'Приложение 3'!C199</f>
        <v>0702</v>
      </c>
      <c r="C197" s="64" t="str">
        <f>'Приложение 3'!D199</f>
        <v>22</v>
      </c>
      <c r="D197" s="64">
        <f>'Приложение 3'!E199</f>
        <v>0</v>
      </c>
      <c r="E197" s="64">
        <f>'Приложение 3'!F199</f>
        <v>600</v>
      </c>
      <c r="F197" s="51">
        <f>'Приложение 3'!G199</f>
        <v>1320.4465699999998</v>
      </c>
      <c r="G197" s="51">
        <f>'Приложение 3'!H199</f>
        <v>0</v>
      </c>
      <c r="H197" s="88">
        <f t="shared" si="2"/>
        <v>0</v>
      </c>
    </row>
    <row r="198" spans="1:8" ht="36" outlineLevel="5">
      <c r="A198" s="39" t="str">
        <f>'Приложение 3'!A200</f>
        <v>Муниципальная программа "Развитие образования детей на территории Алексеевского муниципального района на 2023-2025 годы"</v>
      </c>
      <c r="B198" s="64" t="str">
        <f>'Приложение 3'!C200</f>
        <v>0702</v>
      </c>
      <c r="C198" s="64" t="str">
        <f>'Приложение 3'!D200</f>
        <v>53</v>
      </c>
      <c r="D198" s="64">
        <f>'Приложение 3'!E200</f>
        <v>0</v>
      </c>
      <c r="E198" s="64"/>
      <c r="F198" s="51">
        <f>'Приложение 3'!G200</f>
        <v>335264.7885300001</v>
      </c>
      <c r="G198" s="51">
        <f>'Приложение 3'!H200</f>
        <v>46647.690879999995</v>
      </c>
      <c r="H198" s="88">
        <f t="shared" si="2"/>
        <v>13.913686278994932</v>
      </c>
    </row>
    <row r="199" spans="1:8" ht="12.75" outlineLevel="5">
      <c r="A199" s="39" t="str">
        <f>'Приложение 3'!A201</f>
        <v>Подпрограмма "Развитие общего образования детей"</v>
      </c>
      <c r="B199" s="64" t="str">
        <f>'Приложение 3'!C201</f>
        <v>0702</v>
      </c>
      <c r="C199" s="64" t="str">
        <f>'Приложение 3'!D201</f>
        <v>53</v>
      </c>
      <c r="D199" s="64">
        <f>'Приложение 3'!E201</f>
        <v>2</v>
      </c>
      <c r="E199" s="64" t="s">
        <v>263</v>
      </c>
      <c r="F199" s="51">
        <f>'Приложение 3'!G201</f>
        <v>335264.7885300001</v>
      </c>
      <c r="G199" s="51">
        <f>'Приложение 3'!H201</f>
        <v>46647.690879999995</v>
      </c>
      <c r="H199" s="88">
        <f t="shared" si="2"/>
        <v>13.913686278994932</v>
      </c>
    </row>
    <row r="200" spans="1:8" ht="12" customHeight="1" outlineLevel="5">
      <c r="A200" s="39" t="str">
        <f>'Приложение 3'!A202</f>
        <v>За счет средств бюджета муниципального района</v>
      </c>
      <c r="B200" s="64" t="str">
        <f>'Приложение 3'!C202</f>
        <v>0702</v>
      </c>
      <c r="C200" s="64" t="str">
        <f>'Приложение 3'!D202</f>
        <v>53</v>
      </c>
      <c r="D200" s="64">
        <f>'Приложение 3'!E202</f>
        <v>2</v>
      </c>
      <c r="E200" s="64" t="s">
        <v>263</v>
      </c>
      <c r="F200" s="51">
        <f>'Приложение 3'!G202</f>
        <v>23964.235569999997</v>
      </c>
      <c r="G200" s="51">
        <f>'Приложение 3'!H202</f>
        <v>9118.9221</v>
      </c>
      <c r="H200" s="88">
        <f t="shared" si="2"/>
        <v>38.052213572026744</v>
      </c>
    </row>
    <row r="201" spans="1:8" ht="48" hidden="1" outlineLevel="5">
      <c r="A201" s="39" t="str">
        <f>'Приложение 3'!A203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1" s="64" t="str">
        <f>'Приложение 3'!C203</f>
        <v>0702</v>
      </c>
      <c r="C201" s="64" t="str">
        <f>'Приложение 3'!D203</f>
        <v>53</v>
      </c>
      <c r="D201" s="64">
        <f>'Приложение 3'!E203</f>
        <v>2</v>
      </c>
      <c r="E201" s="64">
        <f>'Приложение 3'!F203</f>
        <v>100</v>
      </c>
      <c r="F201" s="51">
        <f>'Приложение 3'!G203</f>
        <v>0</v>
      </c>
      <c r="G201" s="51">
        <f>'Приложение 3'!H203</f>
        <v>0</v>
      </c>
      <c r="H201" s="88" t="e">
        <f t="shared" si="2"/>
        <v>#DIV/0!</v>
      </c>
    </row>
    <row r="202" spans="1:8" ht="24.75" customHeight="1" outlineLevel="5">
      <c r="A202" s="39" t="str">
        <f>'Приложение 3'!A204</f>
        <v>Закупка товаров, работ и услуг для государственных (муниципальных) нужд</v>
      </c>
      <c r="B202" s="64" t="str">
        <f>'Приложение 3'!C204</f>
        <v>0702</v>
      </c>
      <c r="C202" s="64" t="str">
        <f>'Приложение 3'!D204</f>
        <v>53</v>
      </c>
      <c r="D202" s="64">
        <f>'Приложение 3'!E204</f>
        <v>2</v>
      </c>
      <c r="E202" s="64">
        <f>'Приложение 3'!F204</f>
        <v>200</v>
      </c>
      <c r="F202" s="51">
        <f>'Приложение 3'!G204</f>
        <v>722</v>
      </c>
      <c r="G202" s="51">
        <f>'Приложение 3'!H204</f>
        <v>198.20283</v>
      </c>
      <c r="H202" s="88">
        <f aca="true" t="shared" si="3" ref="H202:H265">SUM(G202/F202)*100</f>
        <v>27.451915512465376</v>
      </c>
    </row>
    <row r="203" spans="1:8" ht="84" outlineLevel="5">
      <c r="A203" s="39" t="str">
        <f>'Приложение 3'!A205</f>
        <v>Закупка товаров, работ и услуг для государственных (муниципальных) нужд (софинансирование на обеспечение бесплатным горячим питанием категорий обучающихся по образовательным программам общего образования в муниципальных образовательных организациях, определенных частью 2 статьи 46 Социального кодекса Волгоградской области)</v>
      </c>
      <c r="B203" s="64" t="str">
        <f>'Приложение 3'!C205</f>
        <v>0702</v>
      </c>
      <c r="C203" s="64" t="str">
        <f>'Приложение 3'!D205</f>
        <v>53</v>
      </c>
      <c r="D203" s="64">
        <f>'Приложение 3'!E205</f>
        <v>2</v>
      </c>
      <c r="E203" s="64">
        <f>'Приложение 3'!F205</f>
        <v>200</v>
      </c>
      <c r="F203" s="51">
        <f>'Приложение 3'!G205</f>
        <v>22.42</v>
      </c>
      <c r="G203" s="51">
        <f>'Приложение 3'!H205</f>
        <v>6.85041</v>
      </c>
      <c r="H203" s="88">
        <f t="shared" si="3"/>
        <v>30.554906333630683</v>
      </c>
    </row>
    <row r="204" spans="1:8" ht="50.25" customHeight="1" outlineLevel="5">
      <c r="A204" s="39" t="str">
        <f>'Приложение 3'!A206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4" s="64" t="str">
        <f>'Приложение 3'!C206</f>
        <v>0702</v>
      </c>
      <c r="C204" s="64" t="str">
        <f>'Приложение 3'!D206</f>
        <v>53</v>
      </c>
      <c r="D204" s="64">
        <f>'Приложение 3'!E206</f>
        <v>2</v>
      </c>
      <c r="E204" s="64">
        <f>'Приложение 3'!F206</f>
        <v>200</v>
      </c>
      <c r="F204" s="51">
        <f>'Приложение 3'!G206</f>
        <v>29.89</v>
      </c>
      <c r="G204" s="51">
        <f>'Приложение 3'!H206</f>
        <v>5.23062</v>
      </c>
      <c r="H204" s="88">
        <f t="shared" si="3"/>
        <v>17.499565071930412</v>
      </c>
    </row>
    <row r="205" spans="1:8" ht="15.75" customHeight="1" outlineLevel="5">
      <c r="A205" s="39" t="str">
        <f>'Приложение 3'!A207</f>
        <v>Иные бюджетные ассигнования</v>
      </c>
      <c r="B205" s="64" t="str">
        <f>'Приложение 3'!C207</f>
        <v>0702</v>
      </c>
      <c r="C205" s="64" t="str">
        <f>'Приложение 3'!D207</f>
        <v>53</v>
      </c>
      <c r="D205" s="64">
        <f>'Приложение 3'!E207</f>
        <v>2</v>
      </c>
      <c r="E205" s="64">
        <f>'Приложение 3'!F207</f>
        <v>800</v>
      </c>
      <c r="F205" s="51">
        <f>'Приложение 3'!G207</f>
        <v>30</v>
      </c>
      <c r="G205" s="51">
        <f>'Приложение 3'!H207</f>
        <v>6.50712</v>
      </c>
      <c r="H205" s="88">
        <f t="shared" si="3"/>
        <v>21.690399999999997</v>
      </c>
    </row>
    <row r="206" spans="1:8" ht="60" outlineLevel="5">
      <c r="A206" s="39" t="str">
        <f>'Приложение 3'!A208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6" s="64" t="str">
        <f>'Приложение 3'!C208</f>
        <v>0702</v>
      </c>
      <c r="C206" s="64" t="str">
        <f>'Приложение 3'!D208</f>
        <v>53</v>
      </c>
      <c r="D206" s="64">
        <f>'Приложение 3'!E208</f>
        <v>2</v>
      </c>
      <c r="E206" s="64">
        <f>'Приложение 3'!F208</f>
        <v>600</v>
      </c>
      <c r="F206" s="51">
        <f>'Приложение 3'!G208</f>
        <v>1928.2095</v>
      </c>
      <c r="G206" s="51">
        <f>'Приложение 3'!H208</f>
        <v>422.29169</v>
      </c>
      <c r="H206" s="88">
        <f t="shared" si="3"/>
        <v>21.90071618255174</v>
      </c>
    </row>
    <row r="207" spans="1:8" ht="31.5" customHeight="1" outlineLevel="5">
      <c r="A207" s="39" t="str">
        <f>'Приложение 3'!A209</f>
        <v>Предоставление субсидий бюджетным, автономным учреждениям и иным некоммерческим организациям</v>
      </c>
      <c r="B207" s="64" t="str">
        <f>'Приложение 3'!C209</f>
        <v>0702</v>
      </c>
      <c r="C207" s="64" t="str">
        <f>'Приложение 3'!D209</f>
        <v>53</v>
      </c>
      <c r="D207" s="64">
        <f>'Приложение 3'!E209</f>
        <v>2</v>
      </c>
      <c r="E207" s="64">
        <f>'Приложение 3'!F209</f>
        <v>600</v>
      </c>
      <c r="F207" s="51">
        <f>'Приложение 3'!G209</f>
        <v>18227.7075</v>
      </c>
      <c r="G207" s="51">
        <f>'Приложение 3'!H209</f>
        <v>8011.09499</v>
      </c>
      <c r="H207" s="88">
        <f t="shared" si="3"/>
        <v>43.95009624770421</v>
      </c>
    </row>
    <row r="208" spans="1:8" ht="37.5" customHeight="1" outlineLevel="5">
      <c r="A208" s="39" t="str">
        <f>'Приложение 3'!A210</f>
        <v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v>
      </c>
      <c r="B208" s="64" t="str">
        <f>'Приложение 3'!C210</f>
        <v>0702</v>
      </c>
      <c r="C208" s="64" t="str">
        <f>'Приложение 3'!D210</f>
        <v>53</v>
      </c>
      <c r="D208" s="64">
        <f>'Приложение 3'!E210</f>
        <v>2</v>
      </c>
      <c r="E208" s="64">
        <f>'Приложение 3'!F210</f>
        <v>600</v>
      </c>
      <c r="F208" s="51">
        <f>'Приложение 3'!G210</f>
        <v>25</v>
      </c>
      <c r="G208" s="51">
        <f>'Приложение 3'!H210</f>
        <v>25</v>
      </c>
      <c r="H208" s="88">
        <f t="shared" si="3"/>
        <v>100</v>
      </c>
    </row>
    <row r="209" spans="1:8" ht="37.5" customHeight="1" outlineLevel="5">
      <c r="A209" s="39" t="str">
        <f>'Приложение 3'!A211</f>
        <v>Предоставление субсидий бюджетным, автономным учреждениям и иным некоммерческим организациям (Реализация мероприятий по модернизации школьных систем софинансирование)</v>
      </c>
      <c r="B209" s="64" t="str">
        <f>'Приложение 3'!C211</f>
        <v>0702</v>
      </c>
      <c r="C209" s="64" t="str">
        <f>'Приложение 3'!D211</f>
        <v>53</v>
      </c>
      <c r="D209" s="64">
        <f>'Приложение 3'!E211</f>
        <v>2</v>
      </c>
      <c r="E209" s="64">
        <f>'Приложение 3'!F211</f>
        <v>600</v>
      </c>
      <c r="F209" s="51">
        <f>'Приложение 3'!G211</f>
        <v>1191.24814</v>
      </c>
      <c r="G209" s="51">
        <f>'Приложение 3'!H211</f>
        <v>0</v>
      </c>
      <c r="H209" s="88">
        <f t="shared" si="3"/>
        <v>0</v>
      </c>
    </row>
    <row r="210" spans="1:8" ht="37.5" customHeight="1" outlineLevel="5">
      <c r="A210" s="39" t="str">
        <f>'Приложение 3'!A212</f>
        <v>Предоставление субсидий бюджетным, автономным учреждениям и иным некоммерческим организациям (В сфере управления БПЛА софинансирование)</v>
      </c>
      <c r="B210" s="64" t="str">
        <f>'Приложение 3'!C212</f>
        <v>0702</v>
      </c>
      <c r="C210" s="64" t="str">
        <f>'Приложение 3'!D212</f>
        <v>53</v>
      </c>
      <c r="D210" s="64">
        <f>'Приложение 3'!E212</f>
        <v>2</v>
      </c>
      <c r="E210" s="64">
        <f>'Приложение 3'!F212</f>
        <v>600</v>
      </c>
      <c r="F210" s="51">
        <f>'Приложение 3'!G212</f>
        <v>121.88889</v>
      </c>
      <c r="G210" s="51">
        <f>'Приложение 3'!H212</f>
        <v>40</v>
      </c>
      <c r="H210" s="88">
        <f t="shared" si="3"/>
        <v>32.8167727181698</v>
      </c>
    </row>
    <row r="211" spans="1:8" ht="80.25" customHeight="1" outlineLevel="5">
      <c r="A211" s="39" t="str">
        <f>'Приложение 3'!A213</f>
        <v>Предоставление субсидий бюджетным, автономным учреждениям и иным некоммерческим организациям (софинансирование на обеспечение бесплатным горячим питанием категорий обучающихся по образовательным программам общего образования в муниципальных образовательных организациях, определенных частью 2 статьи 46 Социального кодекса Волгоградской области)</v>
      </c>
      <c r="B211" s="64" t="str">
        <f>'Приложение 3'!C213</f>
        <v>0702</v>
      </c>
      <c r="C211" s="64" t="str">
        <f>'Приложение 3'!D213</f>
        <v>53</v>
      </c>
      <c r="D211" s="64">
        <f>'Приложение 3'!E213</f>
        <v>2</v>
      </c>
      <c r="E211" s="64">
        <f>'Приложение 3'!F213</f>
        <v>600</v>
      </c>
      <c r="F211" s="51">
        <f>'Приложение 3'!G213</f>
        <v>1592.846</v>
      </c>
      <c r="G211" s="51">
        <f>'Приложение 3'!H213</f>
        <v>403.74444</v>
      </c>
      <c r="H211" s="88">
        <f t="shared" si="3"/>
        <v>25.34736189185897</v>
      </c>
    </row>
    <row r="212" spans="1:8" ht="69.75" customHeight="1" outlineLevel="5">
      <c r="A212" s="39" t="str">
        <f>'Приложение 3'!A214</f>
        <v>Предоставление субсидий бюджетным, автономным учреждениям и иным некоммерческим организациям (софинансирование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Волгоградской области)</v>
      </c>
      <c r="B212" s="64" t="str">
        <f>'Приложение 3'!C214</f>
        <v>0702</v>
      </c>
      <c r="C212" s="64" t="str">
        <f>'Приложение 3'!D214</f>
        <v>53</v>
      </c>
      <c r="D212" s="64">
        <f>'Приложение 3'!E214</f>
        <v>2</v>
      </c>
      <c r="E212" s="64">
        <f>'Приложение 3'!F214</f>
        <v>600</v>
      </c>
      <c r="F212" s="51">
        <f>'Приложение 3'!G214</f>
        <v>73.02554</v>
      </c>
      <c r="G212" s="51">
        <f>'Приложение 3'!H214</f>
        <v>0</v>
      </c>
      <c r="H212" s="88">
        <f t="shared" si="3"/>
        <v>0</v>
      </c>
    </row>
    <row r="213" spans="1:8" ht="12.75" outlineLevel="5">
      <c r="A213" s="39" t="str">
        <f>'Приложение 3'!A215</f>
        <v>За счет средств областного бюджета </v>
      </c>
      <c r="B213" s="64" t="str">
        <f>'Приложение 3'!C215</f>
        <v>0702</v>
      </c>
      <c r="C213" s="64" t="str">
        <f>'Приложение 3'!D215</f>
        <v>53</v>
      </c>
      <c r="D213" s="64">
        <f>'Приложение 3'!E215</f>
        <v>2</v>
      </c>
      <c r="E213" s="64" t="s">
        <v>263</v>
      </c>
      <c r="F213" s="51">
        <f>'Приложение 3'!G215</f>
        <v>311300.55296000006</v>
      </c>
      <c r="G213" s="51">
        <f>'Приложение 3'!H215</f>
        <v>37528.76878</v>
      </c>
      <c r="H213" s="88">
        <f t="shared" si="3"/>
        <v>12.055477712184528</v>
      </c>
    </row>
    <row r="214" spans="1:8" ht="36.75" customHeight="1" outlineLevel="5">
      <c r="A214" s="39" t="str">
        <f>'Приложение 3'!A216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4" s="64" t="str">
        <f>'Приложение 3'!C216</f>
        <v>0702</v>
      </c>
      <c r="C214" s="64" t="str">
        <f>'Приложение 3'!D216</f>
        <v>53</v>
      </c>
      <c r="D214" s="64">
        <f>'Приложение 3'!E216</f>
        <v>2</v>
      </c>
      <c r="E214" s="64">
        <f>'Приложение 3'!F216</f>
        <v>100</v>
      </c>
      <c r="F214" s="51">
        <f>'Приложение 3'!G216</f>
        <v>6178.08</v>
      </c>
      <c r="G214" s="51">
        <f>'Приложение 3'!H216</f>
        <v>1039.23682</v>
      </c>
      <c r="H214" s="88">
        <f t="shared" si="3"/>
        <v>16.821355825758168</v>
      </c>
    </row>
    <row r="215" spans="1:8" ht="4.5" customHeight="1" hidden="1" outlineLevel="5">
      <c r="A215" s="39" t="str">
        <f>'Приложение 3'!A217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15" s="64" t="str">
        <f>'Приложение 3'!C217</f>
        <v>0702</v>
      </c>
      <c r="C215" s="64" t="str">
        <f>'Приложение 3'!D217</f>
        <v>53</v>
      </c>
      <c r="D215" s="64">
        <f>'Приложение 3'!E217</f>
        <v>2</v>
      </c>
      <c r="E215" s="64">
        <f>'Приложение 3'!F217</f>
        <v>100</v>
      </c>
      <c r="F215" s="51">
        <f>'Приложение 3'!G217</f>
        <v>0</v>
      </c>
      <c r="G215" s="51">
        <f>'Приложение 3'!H217</f>
        <v>0</v>
      </c>
      <c r="H215" s="88" t="e">
        <f t="shared" si="3"/>
        <v>#DIV/0!</v>
      </c>
    </row>
    <row r="216" spans="1:8" ht="36" hidden="1" outlineLevel="5">
      <c r="A216" s="39" t="str">
        <f>'Приложение 3'!A218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6" s="64" t="str">
        <f>'Приложение 3'!C218</f>
        <v>0702</v>
      </c>
      <c r="C216" s="64" t="str">
        <f>'Приложение 3'!D218</f>
        <v>53</v>
      </c>
      <c r="D216" s="64">
        <f>'Приложение 3'!E218</f>
        <v>2</v>
      </c>
      <c r="E216" s="64">
        <f>'Приложение 3'!F218</f>
        <v>100</v>
      </c>
      <c r="F216" s="51">
        <f>'Приложение 3'!G218</f>
        <v>625</v>
      </c>
      <c r="G216" s="51">
        <f>'Приложение 3'!H218</f>
        <v>154.56859</v>
      </c>
      <c r="H216" s="88">
        <f t="shared" si="3"/>
        <v>24.7309744</v>
      </c>
    </row>
    <row r="217" spans="1:8" ht="27" customHeight="1" outlineLevel="5">
      <c r="A217" s="39" t="str">
        <f>'Приложение 3'!A219</f>
        <v>Закупка товаров, работ и услуг для государственных (муниципальных) нужд</v>
      </c>
      <c r="B217" s="64" t="str">
        <f>'Приложение 3'!C219</f>
        <v>0702</v>
      </c>
      <c r="C217" s="64" t="str">
        <f>'Приложение 3'!D219</f>
        <v>53</v>
      </c>
      <c r="D217" s="64">
        <f>'Приложение 3'!E219</f>
        <v>2</v>
      </c>
      <c r="E217" s="64">
        <f>'Приложение 3'!F219</f>
        <v>200</v>
      </c>
      <c r="F217" s="51">
        <f>'Приложение 3'!G219</f>
        <v>70</v>
      </c>
      <c r="G217" s="51">
        <f>'Приложение 3'!H219</f>
        <v>4.10399</v>
      </c>
      <c r="H217" s="88">
        <f t="shared" si="3"/>
        <v>5.862842857142857</v>
      </c>
    </row>
    <row r="218" spans="1:8" ht="13.5" customHeight="1" outlineLevel="5">
      <c r="A218" s="39" t="str">
        <f>'Приложение 3'!A220</f>
        <v>Предоставление субсидий бюджетным, автономным учреждениям и иным некоммерческим организациям (на обеспечение бесплатным горячим питанием категорий обучающихся по образовательным программам общего образования в муниципальных образовательных организациях, определенных частью 2 статьи 46 Социального кодекса Волгоградской области)</v>
      </c>
      <c r="B218" s="64" t="str">
        <f>'Приложение 3'!C220</f>
        <v>0702</v>
      </c>
      <c r="C218" s="64" t="str">
        <f>'Приложение 3'!D220</f>
        <v>53</v>
      </c>
      <c r="D218" s="64">
        <f>'Приложение 3'!E220</f>
        <v>2</v>
      </c>
      <c r="E218" s="64">
        <f>'Приложение 3'!F220</f>
        <v>200</v>
      </c>
      <c r="F218" s="51">
        <f>'Приложение 3'!G220</f>
        <v>68.8</v>
      </c>
      <c r="G218" s="51">
        <f>'Приложение 3'!H220</f>
        <v>15.18959</v>
      </c>
      <c r="H218" s="88">
        <f t="shared" si="3"/>
        <v>22.077892441860467</v>
      </c>
    </row>
    <row r="219" spans="1:8" ht="46.5" customHeight="1" outlineLevel="5">
      <c r="A219" s="39" t="str">
        <f>'Приложение 3'!A221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9" s="64" t="str">
        <f>'Приложение 3'!C221</f>
        <v>0702</v>
      </c>
      <c r="C219" s="64" t="str">
        <f>'Приложение 3'!D221</f>
        <v>53</v>
      </c>
      <c r="D219" s="64">
        <f>'Приложение 3'!E221</f>
        <v>2</v>
      </c>
      <c r="E219" s="64">
        <f>'Приложение 3'!F221</f>
        <v>200</v>
      </c>
      <c r="F219" s="51">
        <f>'Приложение 3'!G221</f>
        <v>91.7</v>
      </c>
      <c r="G219" s="51">
        <f>'Приложение 3'!H221</f>
        <v>16.04938</v>
      </c>
      <c r="H219" s="88">
        <f t="shared" si="3"/>
        <v>17.50205016357688</v>
      </c>
    </row>
    <row r="220" spans="1:8" ht="60" outlineLevel="5">
      <c r="A220" s="39" t="str">
        <f>'Приложение 3'!A222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20" s="64" t="str">
        <f>'Приложение 3'!C222</f>
        <v>0702</v>
      </c>
      <c r="C220" s="64" t="str">
        <f>'Приложение 3'!D222</f>
        <v>53</v>
      </c>
      <c r="D220" s="64">
        <f>'Приложение 3'!E222</f>
        <v>2</v>
      </c>
      <c r="E220" s="64">
        <f>'Приложение 3'!F222</f>
        <v>600</v>
      </c>
      <c r="F220" s="51">
        <f>'Приложение 3'!G222</f>
        <v>5916.43117</v>
      </c>
      <c r="G220" s="51">
        <f>'Приложение 3'!H222</f>
        <v>1295.73801</v>
      </c>
      <c r="H220" s="88">
        <f t="shared" si="3"/>
        <v>21.90066904809441</v>
      </c>
    </row>
    <row r="221" spans="1:8" ht="24" outlineLevel="5">
      <c r="A221" s="39" t="str">
        <f>'Приложение 3'!A223</f>
        <v>За счет средств областного бюджета на образовательный процесс</v>
      </c>
      <c r="B221" s="64" t="str">
        <f>'Приложение 3'!C223</f>
        <v>0702</v>
      </c>
      <c r="C221" s="64" t="str">
        <f>'Приложение 3'!D223</f>
        <v>53</v>
      </c>
      <c r="D221" s="64">
        <f>'Приложение 3'!E223</f>
        <v>2</v>
      </c>
      <c r="E221" s="64">
        <f>'Приложение 3'!F223</f>
        <v>600</v>
      </c>
      <c r="F221" s="51">
        <f>'Приложение 3'!G223</f>
        <v>177416.02000000002</v>
      </c>
      <c r="G221" s="51">
        <f>'Приложение 3'!H223</f>
        <v>30056.34075</v>
      </c>
      <c r="H221" s="88">
        <f t="shared" si="3"/>
        <v>16.94116503684391</v>
      </c>
    </row>
    <row r="222" spans="1:8" ht="34.5" customHeight="1" outlineLevel="5">
      <c r="A222" s="39" t="str">
        <f>'Приложение 3'!A224</f>
        <v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v>
      </c>
      <c r="B222" s="64" t="str">
        <f>'Приложение 3'!C224</f>
        <v>0702</v>
      </c>
      <c r="C222" s="64" t="str">
        <f>'Приложение 3'!D224</f>
        <v>53</v>
      </c>
      <c r="D222" s="64">
        <f>'Приложение 3'!E224</f>
        <v>2</v>
      </c>
      <c r="E222" s="64">
        <f>'Приложение 3'!F224</f>
        <v>600</v>
      </c>
      <c r="F222" s="51">
        <f>'Приложение 3'!G224</f>
        <v>98913.63637</v>
      </c>
      <c r="G222" s="51">
        <f>'Приложение 3'!H224</f>
        <v>0</v>
      </c>
      <c r="H222" s="88">
        <f t="shared" si="3"/>
        <v>0</v>
      </c>
    </row>
    <row r="223" spans="1:8" ht="36" hidden="1" outlineLevel="5">
      <c r="A223" s="39" t="str">
        <f>'Приложение 3'!A225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23" s="64" t="str">
        <f>'Приложение 3'!C225</f>
        <v>0702</v>
      </c>
      <c r="C223" s="64" t="str">
        <f>'Приложение 3'!D225</f>
        <v>53</v>
      </c>
      <c r="D223" s="64">
        <f>'Приложение 3'!E225</f>
        <v>2</v>
      </c>
      <c r="E223" s="64">
        <f>'Приложение 3'!F225</f>
        <v>600</v>
      </c>
      <c r="F223" s="51">
        <f>'Приложение 3'!G225</f>
        <v>14217.8</v>
      </c>
      <c r="G223" s="51">
        <f>'Приложение 3'!H225</f>
        <v>3692.84141</v>
      </c>
      <c r="H223" s="88">
        <f t="shared" si="3"/>
        <v>25.97336725794427</v>
      </c>
    </row>
    <row r="224" spans="1:8" ht="14.25" customHeight="1" outlineLevel="5">
      <c r="A224" s="39" t="str">
        <f>'Приложение 3'!A226</f>
        <v>Предоставление субсидий бюджетным, автономным учреждениям и иным некоммерческим организациям (на обеспечение бесплатным горячим питанием категорий обучающихся по образовательным программам общего образования в муниципальных образовательных организациях, определенных частью 2 статьи 46 Социального кодекса Волгоградской области)</v>
      </c>
      <c r="B224" s="64" t="str">
        <f>'Приложение 3'!C226</f>
        <v>0702</v>
      </c>
      <c r="C224" s="64" t="str">
        <f>'Приложение 3'!D226</f>
        <v>53</v>
      </c>
      <c r="D224" s="64">
        <f>'Приложение 3'!E226</f>
        <v>2</v>
      </c>
      <c r="E224" s="64">
        <f>'Приложение 3'!F226</f>
        <v>600</v>
      </c>
      <c r="F224" s="51">
        <f>'Приложение 3'!G226</f>
        <v>4887.4</v>
      </c>
      <c r="G224" s="51">
        <f>'Приложение 3'!H226</f>
        <v>1092.79057</v>
      </c>
      <c r="H224" s="88">
        <f t="shared" si="3"/>
        <v>22.359343822891518</v>
      </c>
    </row>
    <row r="225" spans="1:8" ht="39" customHeight="1" outlineLevel="5">
      <c r="A225" s="39" t="str">
        <f>'Приложение 3'!A227</f>
        <v>Предоставление субсидий бюджетным, автономным учреждениям и иным некоммерческим организациям (Школа детского инициативного бюджетирования)</v>
      </c>
      <c r="B225" s="64" t="str">
        <f>'Приложение 3'!C227</f>
        <v>0702</v>
      </c>
      <c r="C225" s="64" t="str">
        <f>'Приложение 3'!D227</f>
        <v>53</v>
      </c>
      <c r="D225" s="64">
        <f>'Приложение 3'!E227</f>
        <v>2</v>
      </c>
      <c r="E225" s="64">
        <f>'Приложение 3'!F227</f>
        <v>600</v>
      </c>
      <c r="F225" s="51">
        <f>'Приложение 3'!G227</f>
        <v>250</v>
      </c>
      <c r="G225" s="51">
        <f>'Приложение 3'!H227</f>
        <v>0</v>
      </c>
      <c r="H225" s="88">
        <f t="shared" si="3"/>
        <v>0</v>
      </c>
    </row>
    <row r="226" spans="1:8" ht="24" outlineLevel="5">
      <c r="A226" s="39" t="str">
        <f>'Приложение 3'!A229</f>
        <v>За счет средств на расходы на осуществление социальных гарантий молодым специалистам</v>
      </c>
      <c r="B226" s="64" t="str">
        <f>'Приложение 3'!C229</f>
        <v>0702</v>
      </c>
      <c r="C226" s="64" t="str">
        <f>'Приложение 3'!D229</f>
        <v>53</v>
      </c>
      <c r="D226" s="64">
        <f>'Приложение 3'!E229</f>
        <v>2</v>
      </c>
      <c r="E226" s="64">
        <f>'Приложение 3'!F229</f>
        <v>600</v>
      </c>
      <c r="F226" s="51">
        <f>'Приложение 3'!G229</f>
        <v>181.20000000000002</v>
      </c>
      <c r="G226" s="51">
        <f>'Приложение 3'!H229</f>
        <v>6.10967</v>
      </c>
      <c r="H226" s="88">
        <f t="shared" si="3"/>
        <v>3.371782560706402</v>
      </c>
    </row>
    <row r="227" spans="1:8" ht="39.75" customHeight="1" outlineLevel="5">
      <c r="A227" s="39" t="str">
        <f>'Приложение 3'!A230</f>
        <v>Предоставление субсидий бюджетным, автономным учреждениям и иным некоммерческим организациям (субсидия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Волгоградской области)</v>
      </c>
      <c r="B227" s="64" t="str">
        <f>'Приложение 3'!C230</f>
        <v>0702</v>
      </c>
      <c r="C227" s="64" t="str">
        <f>'Приложение 3'!D230</f>
        <v>53</v>
      </c>
      <c r="D227" s="64">
        <f>'Приложение 3'!E230</f>
        <v>2</v>
      </c>
      <c r="E227" s="64">
        <f>'Приложение 3'!F230</f>
        <v>600</v>
      </c>
      <c r="F227" s="51">
        <f>'Приложение 3'!G230</f>
        <v>1387.48542</v>
      </c>
      <c r="G227" s="51">
        <f>'Приложение 3'!H230</f>
        <v>0</v>
      </c>
      <c r="H227" s="88">
        <f t="shared" si="3"/>
        <v>0</v>
      </c>
    </row>
    <row r="228" spans="1:8" ht="14.25" customHeight="1" outlineLevel="5">
      <c r="A228" s="39" t="str">
        <f>'Приложение 3'!A231</f>
        <v>Дополнительное образование детей</v>
      </c>
      <c r="B228" s="64" t="str">
        <f>'Приложение 3'!C231</f>
        <v>0703</v>
      </c>
      <c r="C228" s="64"/>
      <c r="D228" s="64"/>
      <c r="E228" s="64"/>
      <c r="F228" s="51">
        <f>'Приложение 3'!G231</f>
        <v>12061.971160000001</v>
      </c>
      <c r="G228" s="51">
        <f>'Приложение 3'!H231</f>
        <v>2590.8403200000002</v>
      </c>
      <c r="H228" s="88">
        <f t="shared" si="3"/>
        <v>21.47941066707044</v>
      </c>
    </row>
    <row r="229" spans="1:8" ht="2.25" customHeight="1" hidden="1" outlineLevel="5">
      <c r="A229" s="39" t="str">
        <f>'Приложение 3'!A232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29" s="64" t="str">
        <f>'Приложение 3'!C232</f>
        <v>0703</v>
      </c>
      <c r="C229" s="64" t="str">
        <f>'Приложение 3'!D232</f>
        <v>02</v>
      </c>
      <c r="D229" s="64">
        <f>'Приложение 3'!E232</f>
        <v>0</v>
      </c>
      <c r="E229" s="64"/>
      <c r="F229" s="51">
        <f>'Приложение 3'!G232</f>
        <v>0</v>
      </c>
      <c r="G229" s="51">
        <f>'Приложение 3'!H232</f>
        <v>0</v>
      </c>
      <c r="H229" s="88" t="e">
        <f t="shared" si="3"/>
        <v>#DIV/0!</v>
      </c>
    </row>
    <row r="230" spans="1:8" ht="42" customHeight="1" hidden="1" outlineLevel="5">
      <c r="A230" s="39" t="str">
        <f>'Приложение 3'!A233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30" s="64" t="str">
        <f>'Приложение 3'!C233</f>
        <v>0703</v>
      </c>
      <c r="C230" s="64" t="str">
        <f>'Приложение 3'!D233</f>
        <v>02</v>
      </c>
      <c r="D230" s="64">
        <f>'Приложение 3'!E233</f>
        <v>3</v>
      </c>
      <c r="E230" s="64"/>
      <c r="F230" s="51">
        <f>'Приложение 3'!G233</f>
        <v>0</v>
      </c>
      <c r="G230" s="51">
        <f>'Приложение 3'!H233</f>
        <v>0</v>
      </c>
      <c r="H230" s="88" t="e">
        <f t="shared" si="3"/>
        <v>#DIV/0!</v>
      </c>
    </row>
    <row r="231" spans="1:8" ht="24" hidden="1" outlineLevel="5">
      <c r="A231" s="39" t="str">
        <f>'Приложение 3'!A234</f>
        <v>Предоставление субсидий бюджетным, автономным учреждениям и иным некоммерческим организациям</v>
      </c>
      <c r="B231" s="64" t="str">
        <f>'Приложение 3'!C234</f>
        <v>0703</v>
      </c>
      <c r="C231" s="64" t="str">
        <f>'Приложение 3'!D234</f>
        <v>02</v>
      </c>
      <c r="D231" s="64">
        <f>'Приложение 3'!E234</f>
        <v>3</v>
      </c>
      <c r="E231" s="64">
        <f>'Приложение 3'!F234</f>
        <v>600</v>
      </c>
      <c r="F231" s="51">
        <f>'Приложение 3'!G234</f>
        <v>0</v>
      </c>
      <c r="G231" s="51">
        <f>'Приложение 3'!H234</f>
        <v>0</v>
      </c>
      <c r="H231" s="88" t="e">
        <f t="shared" si="3"/>
        <v>#DIV/0!</v>
      </c>
    </row>
    <row r="232" spans="1:8" ht="34.5" customHeight="1" outlineLevel="5">
      <c r="A232" s="39" t="str">
        <f>'Приложение 3'!A235</f>
        <v>Муниципальная программа "Развитие образования детей на территории Алексеевского муниципального района на 2023-2025 годы"</v>
      </c>
      <c r="B232" s="64" t="str">
        <f>'Приложение 3'!C235</f>
        <v>0703</v>
      </c>
      <c r="C232" s="64" t="str">
        <f>'Приложение 3'!D235</f>
        <v>53</v>
      </c>
      <c r="D232" s="64">
        <f>'Приложение 3'!E235</f>
        <v>0</v>
      </c>
      <c r="E232" s="64"/>
      <c r="F232" s="51">
        <f>'Приложение 3'!G235</f>
        <v>12061.971160000001</v>
      </c>
      <c r="G232" s="51">
        <f>'Приложение 3'!H235</f>
        <v>2590.8403200000002</v>
      </c>
      <c r="H232" s="88">
        <f t="shared" si="3"/>
        <v>21.47941066707044</v>
      </c>
    </row>
    <row r="233" spans="1:8" ht="15" customHeight="1" outlineLevel="5">
      <c r="A233" s="39" t="str">
        <f>'Приложение 3'!A236</f>
        <v>Подпрограмма "Развитие дополнительного образования детей"</v>
      </c>
      <c r="B233" s="64" t="str">
        <f>'Приложение 3'!C236</f>
        <v>0703</v>
      </c>
      <c r="C233" s="64" t="str">
        <f>'Приложение 3'!D236</f>
        <v>53</v>
      </c>
      <c r="D233" s="64">
        <f>'Приложение 3'!E236</f>
        <v>3</v>
      </c>
      <c r="E233" s="64" t="s">
        <v>263</v>
      </c>
      <c r="F233" s="51">
        <f>'Приложение 3'!G236</f>
        <v>12061.971160000001</v>
      </c>
      <c r="G233" s="51">
        <f>'Приложение 3'!H236</f>
        <v>2590.8403200000002</v>
      </c>
      <c r="H233" s="88">
        <f t="shared" si="3"/>
        <v>21.47941066707044</v>
      </c>
    </row>
    <row r="234" spans="1:8" ht="24" outlineLevel="5">
      <c r="A234" s="39" t="str">
        <f>'Приложение 3'!A237</f>
        <v>Предоставление субсидий бюджетным, автономным учреждениям и иным некоммерческим организациям (ДШИ)</v>
      </c>
      <c r="B234" s="64" t="str">
        <f>'Приложение 3'!C237</f>
        <v>0703</v>
      </c>
      <c r="C234" s="64" t="str">
        <f>'Приложение 3'!D237</f>
        <v>53</v>
      </c>
      <c r="D234" s="64">
        <f>'Приложение 3'!E237</f>
        <v>3</v>
      </c>
      <c r="E234" s="64">
        <f>'Приложение 3'!F237</f>
        <v>600</v>
      </c>
      <c r="F234" s="51">
        <f>'Приложение 3'!G237</f>
        <v>5700.54292</v>
      </c>
      <c r="G234" s="51">
        <f>'Приложение 3'!H237</f>
        <v>1129.21827</v>
      </c>
      <c r="H234" s="88">
        <f t="shared" si="3"/>
        <v>19.80896005603621</v>
      </c>
    </row>
    <row r="235" spans="1:8" ht="51.75" customHeight="1" outlineLevel="5">
      <c r="A235" s="39" t="str">
        <f>'Приложение 3'!A238</f>
        <v>Предоставление субсидий бюджетным, автономным учреждениям и иным некоммерческим организациям (Проект местных инициативы "Современные технологии в детской школе искусств")</v>
      </c>
      <c r="B235" s="64" t="str">
        <f>'Приложение 3'!C238</f>
        <v>0703</v>
      </c>
      <c r="C235" s="64" t="str">
        <f>'Приложение 3'!D238</f>
        <v>53</v>
      </c>
      <c r="D235" s="64">
        <f>'Приложение 3'!E238</f>
        <v>3</v>
      </c>
      <c r="E235" s="64">
        <f>'Приложение 3'!F238</f>
        <v>600</v>
      </c>
      <c r="F235" s="51">
        <f>'Приложение 3'!G238</f>
        <v>911</v>
      </c>
      <c r="G235" s="51">
        <f>'Приложение 3'!H238</f>
        <v>111</v>
      </c>
      <c r="H235" s="88">
        <f t="shared" si="3"/>
        <v>12.184412733260155</v>
      </c>
    </row>
    <row r="236" spans="1:8" ht="26.25" customHeight="1" outlineLevel="5">
      <c r="A236" s="39" t="str">
        <f>'Приложение 3'!A239</f>
        <v>Предоставление субсидий бюджетным, автономным учреждениям и иным некоммерческим организациям (ДЮСШ)</v>
      </c>
      <c r="B236" s="64" t="str">
        <f>'Приложение 3'!C239</f>
        <v>0703</v>
      </c>
      <c r="C236" s="64" t="str">
        <f>'Приложение 3'!D239</f>
        <v>53</v>
      </c>
      <c r="D236" s="64">
        <f>'Приложение 3'!E239</f>
        <v>3</v>
      </c>
      <c r="E236" s="64">
        <f>'Приложение 3'!F239</f>
        <v>600</v>
      </c>
      <c r="F236" s="51">
        <f>'Приложение 3'!G239</f>
        <v>5426.22824</v>
      </c>
      <c r="G236" s="51">
        <f>'Приложение 3'!H239</f>
        <v>1342.20363</v>
      </c>
      <c r="H236" s="88">
        <f t="shared" si="3"/>
        <v>24.735480533343726</v>
      </c>
    </row>
    <row r="237" spans="1:8" ht="26.25" customHeight="1" outlineLevel="5">
      <c r="A237" s="39" t="str">
        <f>'Приложение 3'!A240</f>
        <v>За счет средств на расходы на осуществление социальных гарантий молодым специалистам</v>
      </c>
      <c r="B237" s="64" t="str">
        <f>'Приложение 3'!C240</f>
        <v>0703</v>
      </c>
      <c r="C237" s="64" t="str">
        <f>'Приложение 3'!D240</f>
        <v>53</v>
      </c>
      <c r="D237" s="64">
        <f>'Приложение 3'!E240</f>
        <v>3</v>
      </c>
      <c r="E237" s="64">
        <f>'Приложение 3'!F240</f>
        <v>600</v>
      </c>
      <c r="F237" s="51">
        <f>'Приложение 3'!G240</f>
        <v>24.2</v>
      </c>
      <c r="G237" s="51">
        <f>'Приложение 3'!H240</f>
        <v>8.41842</v>
      </c>
      <c r="H237" s="88">
        <f t="shared" si="3"/>
        <v>34.78685950413223</v>
      </c>
    </row>
    <row r="238" spans="1:8" ht="12.75" outlineLevel="5">
      <c r="A238" s="39" t="str">
        <f>'Приложение 3'!A241</f>
        <v>Молодежная политика </v>
      </c>
      <c r="B238" s="64" t="str">
        <f>'Приложение 3'!C241</f>
        <v>0707</v>
      </c>
      <c r="C238" s="64">
        <f>'Приложение 3'!D241</f>
      </c>
      <c r="D238" s="64">
        <f>'Приложение 3'!E241</f>
      </c>
      <c r="E238" s="64"/>
      <c r="F238" s="51">
        <f>'Приложение 3'!G241</f>
        <v>4775.6</v>
      </c>
      <c r="G238" s="51">
        <f>'Приложение 3'!H241</f>
        <v>930.09032</v>
      </c>
      <c r="H238" s="88">
        <f t="shared" si="3"/>
        <v>19.475884077393417</v>
      </c>
    </row>
    <row r="239" spans="1:8" ht="66" customHeight="1" outlineLevel="5">
      <c r="A239" s="39" t="str">
        <f>'Приложение 3'!A242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39" s="64" t="str">
        <f>'Приложение 3'!C242</f>
        <v>0707</v>
      </c>
      <c r="C239" s="64" t="str">
        <f>'Приложение 3'!D242</f>
        <v>07</v>
      </c>
      <c r="D239" s="64">
        <f>'Приложение 3'!E242</f>
        <v>0</v>
      </c>
      <c r="E239" s="64"/>
      <c r="F239" s="51">
        <f>'Приложение 3'!G242</f>
        <v>60</v>
      </c>
      <c r="G239" s="51">
        <f>'Приложение 3'!H242</f>
        <v>12.432</v>
      </c>
      <c r="H239" s="88">
        <f t="shared" si="3"/>
        <v>20.72</v>
      </c>
    </row>
    <row r="240" spans="1:8" ht="24" outlineLevel="5">
      <c r="A240" s="39" t="str">
        <f>'Приложение 3'!A243</f>
        <v>Подпрограмма "Комплексные меры по противодействию наркомании"</v>
      </c>
      <c r="B240" s="64" t="str">
        <f>'Приложение 3'!C243</f>
        <v>0707</v>
      </c>
      <c r="C240" s="64" t="str">
        <f>'Приложение 3'!D243</f>
        <v>07</v>
      </c>
      <c r="D240" s="64">
        <f>'Приложение 3'!E243</f>
        <v>1</v>
      </c>
      <c r="E240" s="64"/>
      <c r="F240" s="51">
        <f>'Приложение 3'!G243</f>
        <v>20</v>
      </c>
      <c r="G240" s="51">
        <f>'Приложение 3'!H243</f>
        <v>0</v>
      </c>
      <c r="H240" s="88">
        <f t="shared" si="3"/>
        <v>0</v>
      </c>
    </row>
    <row r="241" spans="1:8" ht="27" customHeight="1" outlineLevel="5">
      <c r="A241" s="39" t="str">
        <f>'Приложение 3'!A244</f>
        <v>Закупка товаров, работ и услуг для государственных (муниципальных) нужд</v>
      </c>
      <c r="B241" s="64" t="str">
        <f>'Приложение 3'!C244</f>
        <v>0707</v>
      </c>
      <c r="C241" s="64" t="str">
        <f>'Приложение 3'!D244</f>
        <v>07</v>
      </c>
      <c r="D241" s="64">
        <f>'Приложение 3'!E244</f>
        <v>1</v>
      </c>
      <c r="E241" s="64">
        <f>'Приложение 3'!F244</f>
        <v>200</v>
      </c>
      <c r="F241" s="51">
        <f>'Приложение 3'!G244</f>
        <v>20</v>
      </c>
      <c r="G241" s="51">
        <f>'Приложение 3'!H244</f>
        <v>0</v>
      </c>
      <c r="H241" s="88">
        <f t="shared" si="3"/>
        <v>0</v>
      </c>
    </row>
    <row r="242" spans="1:8" ht="27.75" customHeight="1" outlineLevel="5">
      <c r="A242" s="39" t="str">
        <f>'Приложение 3'!A245</f>
        <v>Подпрограмма "Реализация мероприятий молодежной политики и социальной адаптации молодежи "</v>
      </c>
      <c r="B242" s="64" t="str">
        <f>'Приложение 3'!C245</f>
        <v>0707</v>
      </c>
      <c r="C242" s="64" t="str">
        <f>'Приложение 3'!D245</f>
        <v>07</v>
      </c>
      <c r="D242" s="64">
        <f>'Приложение 3'!E245</f>
        <v>2</v>
      </c>
      <c r="E242" s="64"/>
      <c r="F242" s="51">
        <f>'Приложение 3'!G245</f>
        <v>30</v>
      </c>
      <c r="G242" s="51">
        <f>'Приложение 3'!H245</f>
        <v>12.432</v>
      </c>
      <c r="H242" s="88">
        <f t="shared" si="3"/>
        <v>41.44</v>
      </c>
    </row>
    <row r="243" spans="1:8" ht="22.5" customHeight="1" outlineLevel="5">
      <c r="A243" s="39" t="str">
        <f>'Приложение 3'!A246</f>
        <v>Закупка товаров, работ и услуг для государственных (муниципальных) нужд</v>
      </c>
      <c r="B243" s="64" t="str">
        <f>'Приложение 3'!C246</f>
        <v>0707</v>
      </c>
      <c r="C243" s="64" t="str">
        <f>'Приложение 3'!D246</f>
        <v>07</v>
      </c>
      <c r="D243" s="64">
        <f>'Приложение 3'!E246</f>
        <v>2</v>
      </c>
      <c r="E243" s="64">
        <f>'Приложение 3'!F246</f>
        <v>200</v>
      </c>
      <c r="F243" s="51">
        <f>'Приложение 3'!G246</f>
        <v>30</v>
      </c>
      <c r="G243" s="51">
        <f>'Приложение 3'!H246</f>
        <v>12.432</v>
      </c>
      <c r="H243" s="88">
        <f t="shared" si="3"/>
        <v>41.44</v>
      </c>
    </row>
    <row r="244" spans="1:8" ht="73.5" customHeight="1" hidden="1" outlineLevel="5">
      <c r="A244" s="39" t="str">
        <f>'Приложение 3'!A247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244" s="64" t="str">
        <f>'Приложение 3'!C247</f>
        <v>0707</v>
      </c>
      <c r="C244" s="64" t="str">
        <f>'Приложение 3'!D247</f>
        <v>07</v>
      </c>
      <c r="D244" s="64">
        <f>'Приложение 3'!E247</f>
        <v>2</v>
      </c>
      <c r="E244" s="64">
        <f>'Приложение 3'!F247</f>
        <v>200</v>
      </c>
      <c r="F244" s="51">
        <f>'Приложение 3'!G247</f>
        <v>0</v>
      </c>
      <c r="G244" s="51">
        <f>'Приложение 3'!H247</f>
        <v>0</v>
      </c>
      <c r="H244" s="88" t="e">
        <f t="shared" si="3"/>
        <v>#DIV/0!</v>
      </c>
    </row>
    <row r="245" spans="1:8" ht="24" outlineLevel="5">
      <c r="A245" s="39" t="str">
        <f>'Приложение 3'!A248</f>
        <v>Подпрограмма " Профилактика безнадзорности, правонарушений и неблагополучия несовершеннолетних"</v>
      </c>
      <c r="B245" s="64" t="str">
        <f>'Приложение 3'!C248</f>
        <v>0707</v>
      </c>
      <c r="C245" s="64" t="str">
        <f>'Приложение 3'!D248</f>
        <v>07</v>
      </c>
      <c r="D245" s="64">
        <f>'Приложение 3'!E248</f>
        <v>3</v>
      </c>
      <c r="E245" s="64"/>
      <c r="F245" s="51">
        <f>'Приложение 3'!G248</f>
        <v>10</v>
      </c>
      <c r="G245" s="51">
        <f>'Приложение 3'!H248</f>
        <v>0</v>
      </c>
      <c r="H245" s="88">
        <f t="shared" si="3"/>
        <v>0</v>
      </c>
    </row>
    <row r="246" spans="1:8" ht="24" outlineLevel="5">
      <c r="A246" s="39" t="str">
        <f>'Приложение 3'!A249</f>
        <v>Закупка товаров, работ и услуг для государственных (муниципальных) нужд</v>
      </c>
      <c r="B246" s="64" t="str">
        <f>'Приложение 3'!C249</f>
        <v>0707</v>
      </c>
      <c r="C246" s="64" t="str">
        <f>'Приложение 3'!D249</f>
        <v>07</v>
      </c>
      <c r="D246" s="64">
        <f>'Приложение 3'!E249</f>
        <v>3</v>
      </c>
      <c r="E246" s="64">
        <f>'Приложение 3'!F249</f>
        <v>200</v>
      </c>
      <c r="F246" s="51">
        <f>'Приложение 3'!G249</f>
        <v>10</v>
      </c>
      <c r="G246" s="51">
        <f>'Приложение 3'!H249</f>
        <v>0</v>
      </c>
      <c r="H246" s="88">
        <f t="shared" si="3"/>
        <v>0</v>
      </c>
    </row>
    <row r="247" spans="1:8" ht="12.75" hidden="1" outlineLevel="5">
      <c r="A247" s="39">
        <f>'Приложение 3'!A250</f>
        <v>0</v>
      </c>
      <c r="B247" s="64" t="str">
        <f>'Приложение 3'!C250</f>
        <v>0707</v>
      </c>
      <c r="C247" s="64" t="str">
        <f>'Приложение 3'!D250</f>
        <v>07</v>
      </c>
      <c r="D247" s="64">
        <f>'Приложение 3'!E250</f>
        <v>3</v>
      </c>
      <c r="E247" s="64">
        <f>'Приложение 3'!F250</f>
        <v>0</v>
      </c>
      <c r="F247" s="51">
        <f>'Приложение 3'!G250</f>
        <v>0</v>
      </c>
      <c r="G247" s="51">
        <f>'Приложение 3'!H250</f>
        <v>0</v>
      </c>
      <c r="H247" s="88" t="e">
        <f t="shared" si="3"/>
        <v>#DIV/0!</v>
      </c>
    </row>
    <row r="248" spans="1:8" ht="12.75" hidden="1" outlineLevel="5">
      <c r="A248" s="39">
        <f>'Приложение 3'!A251</f>
        <v>0</v>
      </c>
      <c r="B248" s="64" t="str">
        <f>'Приложение 3'!C251</f>
        <v>0707</v>
      </c>
      <c r="C248" s="64" t="str">
        <f>'Приложение 3'!D251</f>
        <v>07</v>
      </c>
      <c r="D248" s="64">
        <f>'Приложение 3'!E251</f>
        <v>3</v>
      </c>
      <c r="E248" s="64">
        <f>'Приложение 3'!F251</f>
        <v>200</v>
      </c>
      <c r="F248" s="51">
        <f>'Приложение 3'!G251</f>
        <v>0</v>
      </c>
      <c r="G248" s="51">
        <f>'Приложение 3'!H251</f>
        <v>0</v>
      </c>
      <c r="H248" s="88" t="e">
        <f t="shared" si="3"/>
        <v>#DIV/0!</v>
      </c>
    </row>
    <row r="249" spans="1:8" ht="38.25" customHeight="1" outlineLevel="5">
      <c r="A249" s="39" t="str">
        <f>'Приложение 3'!A252</f>
        <v>Муниципальная программа "Молодежная политика на территории Алексеевского муниципального района на 2024-2026 годы" (СДЦ)</v>
      </c>
      <c r="B249" s="64" t="str">
        <f>'Приложение 3'!C252</f>
        <v>0707</v>
      </c>
      <c r="C249" s="64" t="str">
        <f>'Приложение 3'!D252</f>
        <v>56</v>
      </c>
      <c r="D249" s="64">
        <f>'Приложение 3'!E252</f>
        <v>0</v>
      </c>
      <c r="E249" s="64"/>
      <c r="F249" s="51">
        <f>'Приложение 3'!G252</f>
        <v>4715.6</v>
      </c>
      <c r="G249" s="51">
        <f>'Приложение 3'!H252</f>
        <v>917.65832</v>
      </c>
      <c r="H249" s="88">
        <f t="shared" si="3"/>
        <v>19.460054287895495</v>
      </c>
    </row>
    <row r="250" spans="1:8" ht="29.25" customHeight="1" outlineLevel="5">
      <c r="A250" s="39" t="str">
        <f>'Приложение 3'!A253</f>
        <v>Предоставление субсидий бюджетным, автономным учреждениям и иным некоммерческим организациям</v>
      </c>
      <c r="B250" s="64" t="str">
        <f>'Приложение 3'!C253</f>
        <v>0707</v>
      </c>
      <c r="C250" s="64" t="str">
        <f>'Приложение 3'!D253</f>
        <v>56</v>
      </c>
      <c r="D250" s="64">
        <f>'Приложение 3'!E253</f>
        <v>0</v>
      </c>
      <c r="E250" s="64">
        <f>'Приложение 3'!F253</f>
        <v>600</v>
      </c>
      <c r="F250" s="51">
        <f>'Приложение 3'!G253</f>
        <v>4715.6</v>
      </c>
      <c r="G250" s="51">
        <f>'Приложение 3'!H253</f>
        <v>917.65832</v>
      </c>
      <c r="H250" s="88">
        <f t="shared" si="3"/>
        <v>19.460054287895495</v>
      </c>
    </row>
    <row r="251" spans="1:8" ht="18.75" customHeight="1" outlineLevel="5">
      <c r="A251" s="39" t="str">
        <f>'Приложение 3'!A254</f>
        <v>Другие вопросы в области образования</v>
      </c>
      <c r="B251" s="64" t="str">
        <f>'Приложение 3'!C254</f>
        <v>0709</v>
      </c>
      <c r="C251" s="64"/>
      <c r="D251" s="64"/>
      <c r="E251" s="64"/>
      <c r="F251" s="51">
        <f>'Приложение 3'!G254</f>
        <v>7609.1088199999995</v>
      </c>
      <c r="G251" s="51">
        <f>'Приложение 3'!H254</f>
        <v>1327.32249</v>
      </c>
      <c r="H251" s="88">
        <f t="shared" si="3"/>
        <v>17.443862630946054</v>
      </c>
    </row>
    <row r="252" spans="1:8" ht="36" outlineLevel="5">
      <c r="A252" s="39" t="str">
        <f>'Приложение 3'!A255</f>
        <v>Муниципальная программа "Развитие образования детей на территории Алексеевского муниципального района на 2023-2025 годы"</v>
      </c>
      <c r="B252" s="64" t="str">
        <f>'Приложение 3'!C255</f>
        <v>0709</v>
      </c>
      <c r="C252" s="64" t="str">
        <f>'Приложение 3'!D255</f>
        <v>53</v>
      </c>
      <c r="D252" s="64">
        <f>'Приложение 3'!E255</f>
        <v>0</v>
      </c>
      <c r="E252" s="64"/>
      <c r="F252" s="51">
        <f>'Приложение 3'!G255</f>
        <v>3674.10882</v>
      </c>
      <c r="G252" s="51">
        <f>'Приложение 3'!H255</f>
        <v>961.6026</v>
      </c>
      <c r="H252" s="88">
        <f t="shared" si="3"/>
        <v>26.17240389738919</v>
      </c>
    </row>
    <row r="253" spans="1:8" ht="12.75" outlineLevel="5">
      <c r="A253" s="39" t="str">
        <f>'Приложение 3'!A256</f>
        <v>Подпрограмма "Развитие общего образования детей"</v>
      </c>
      <c r="B253" s="64" t="str">
        <f>'Приложение 3'!C256</f>
        <v>0709</v>
      </c>
      <c r="C253" s="64" t="str">
        <f>'Приложение 3'!D256</f>
        <v>53</v>
      </c>
      <c r="D253" s="64">
        <f>'Приложение 3'!E256</f>
        <v>2</v>
      </c>
      <c r="E253" s="64">
        <f>'Приложение 3'!F256</f>
        <v>0</v>
      </c>
      <c r="F253" s="51">
        <f>'Приложение 3'!G256</f>
        <v>3674.10882</v>
      </c>
      <c r="G253" s="51">
        <f>'Приложение 3'!H256</f>
        <v>961.6026</v>
      </c>
      <c r="H253" s="88">
        <f t="shared" si="3"/>
        <v>26.17240389738919</v>
      </c>
    </row>
    <row r="254" spans="1:8" ht="48" outlineLevel="5">
      <c r="A254" s="39" t="str">
        <f>'Приложение 3'!A257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4" s="64" t="str">
        <f>'Приложение 3'!C257</f>
        <v>0709</v>
      </c>
      <c r="C254" s="64" t="str">
        <f>'Приложение 3'!D257</f>
        <v>53</v>
      </c>
      <c r="D254" s="64">
        <f>'Приложение 3'!E257</f>
        <v>2</v>
      </c>
      <c r="E254" s="64">
        <f>'Приложение 3'!F257</f>
        <v>100</v>
      </c>
      <c r="F254" s="51">
        <f>'Приложение 3'!G257</f>
        <v>250</v>
      </c>
      <c r="G254" s="51">
        <f>'Приложение 3'!H257</f>
        <v>62.09541</v>
      </c>
      <c r="H254" s="88">
        <f t="shared" si="3"/>
        <v>24.838164000000003</v>
      </c>
    </row>
    <row r="255" spans="1:8" ht="72" outlineLevel="5">
      <c r="A255" s="39" t="str">
        <f>'Приложение 3'!A258</f>
        <v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v>
      </c>
      <c r="B255" s="64" t="str">
        <f>'Приложение 3'!C258</f>
        <v>0709</v>
      </c>
      <c r="C255" s="64" t="str">
        <f>'Приложение 3'!D258</f>
        <v>53</v>
      </c>
      <c r="D255" s="64">
        <f>'Приложение 3'!E258</f>
        <v>2</v>
      </c>
      <c r="E255" s="64">
        <f>'Приложение 3'!F258</f>
        <v>600</v>
      </c>
      <c r="F255" s="51">
        <f>'Приложение 3'!G258</f>
        <v>3424.10882</v>
      </c>
      <c r="G255" s="51">
        <f>'Приложение 3'!H258</f>
        <v>899.50719</v>
      </c>
      <c r="H255" s="88">
        <f t="shared" si="3"/>
        <v>26.26981901819347</v>
      </c>
    </row>
    <row r="256" spans="1:8" ht="20.25" customHeight="1" outlineLevel="5">
      <c r="A256" s="39" t="str">
        <f>'Приложение 3'!A259</f>
        <v>Организация отдыха детей в лагерях дневного пребывания</v>
      </c>
      <c r="B256" s="64" t="str">
        <f>'Приложение 3'!C259</f>
        <v>0709</v>
      </c>
      <c r="C256" s="64" t="str">
        <f>'Приложение 3'!D259</f>
        <v>99</v>
      </c>
      <c r="D256" s="64"/>
      <c r="E256" s="64"/>
      <c r="F256" s="51">
        <f>'Приложение 3'!G259</f>
        <v>2235</v>
      </c>
      <c r="G256" s="51">
        <f>'Приложение 3'!H259</f>
        <v>0</v>
      </c>
      <c r="H256" s="88">
        <f t="shared" si="3"/>
        <v>0</v>
      </c>
    </row>
    <row r="257" spans="1:8" ht="24.75" customHeight="1" outlineLevel="5">
      <c r="A257" s="39" t="str">
        <f>'Приложение 3'!A260</f>
        <v>Непрограммные расходы органов местного самоуправления Алексеевского муниципального района</v>
      </c>
      <c r="B257" s="64" t="str">
        <f>'Приложение 3'!C260</f>
        <v>0709</v>
      </c>
      <c r="C257" s="64" t="str">
        <f>'Приложение 3'!D260</f>
        <v>99</v>
      </c>
      <c r="D257" s="64"/>
      <c r="E257" s="64"/>
      <c r="F257" s="51">
        <f>'Приложение 3'!G260</f>
        <v>2235</v>
      </c>
      <c r="G257" s="51">
        <f>'Приложение 3'!H260</f>
        <v>0</v>
      </c>
      <c r="H257" s="88">
        <f t="shared" si="3"/>
        <v>0</v>
      </c>
    </row>
    <row r="258" spans="1:8" ht="36" outlineLevel="5">
      <c r="A258" s="39" t="str">
        <f>'Приложение 3'!A261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58" s="64" t="str">
        <f>'Приложение 3'!C261</f>
        <v>0709</v>
      </c>
      <c r="C258" s="64" t="str">
        <f>'Приложение 3'!D261</f>
        <v>99</v>
      </c>
      <c r="D258" s="64">
        <f>'Приложение 3'!E261</f>
        <v>0</v>
      </c>
      <c r="E258" s="64">
        <f>'Приложение 3'!F261</f>
        <v>600</v>
      </c>
      <c r="F258" s="51">
        <f>'Приложение 3'!G261</f>
        <v>2011.5</v>
      </c>
      <c r="G258" s="51">
        <f>'Приложение 3'!H261</f>
        <v>0</v>
      </c>
      <c r="H258" s="88">
        <f t="shared" si="3"/>
        <v>0</v>
      </c>
    </row>
    <row r="259" spans="1:8" ht="25.5" customHeight="1" outlineLevel="5">
      <c r="A259" s="39" t="str">
        <f>'Приложение 3'!A262</f>
        <v>Предоставление субсидий бюджетным, автономным учреждениям и иным некоммерческим организациям</v>
      </c>
      <c r="B259" s="64" t="str">
        <f>'Приложение 3'!C262</f>
        <v>0709</v>
      </c>
      <c r="C259" s="64" t="str">
        <f>'Приложение 3'!D262</f>
        <v>99</v>
      </c>
      <c r="D259" s="64">
        <f>'Приложение 3'!E262</f>
        <v>0</v>
      </c>
      <c r="E259" s="64">
        <f>'Приложение 3'!F262</f>
        <v>600</v>
      </c>
      <c r="F259" s="51">
        <f>'Приложение 3'!G262</f>
        <v>223.5</v>
      </c>
      <c r="G259" s="51">
        <f>'Приложение 3'!H262</f>
        <v>0</v>
      </c>
      <c r="H259" s="88">
        <f t="shared" si="3"/>
        <v>0</v>
      </c>
    </row>
    <row r="260" spans="1:8" ht="61.5" customHeight="1" hidden="1" outlineLevel="5">
      <c r="A260" s="39" t="str">
        <f>'Приложение 3'!A263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60" s="64" t="str">
        <f>'Приложение 3'!C263</f>
        <v>0709</v>
      </c>
      <c r="C260" s="64" t="str">
        <f>'Приложение 3'!D263</f>
        <v>08</v>
      </c>
      <c r="D260" s="64">
        <f>'Приложение 3'!E263</f>
        <v>0</v>
      </c>
      <c r="E260" s="64"/>
      <c r="F260" s="51">
        <f>'Приложение 3'!G263</f>
        <v>0</v>
      </c>
      <c r="G260" s="51">
        <f>'Приложение 3'!H263</f>
        <v>0</v>
      </c>
      <c r="H260" s="88" t="e">
        <f t="shared" si="3"/>
        <v>#DIV/0!</v>
      </c>
    </row>
    <row r="261" spans="1:8" ht="12.75" hidden="1" outlineLevel="2">
      <c r="A261" s="39" t="str">
        <f>'Приложение 3'!A264</f>
        <v>Социальное обеспечение и иные выплаты населению</v>
      </c>
      <c r="B261" s="64" t="str">
        <f>'Приложение 3'!C264</f>
        <v>0709</v>
      </c>
      <c r="C261" s="64" t="str">
        <f>'Приложение 3'!D264</f>
        <v>08</v>
      </c>
      <c r="D261" s="64">
        <f>'Приложение 3'!E264</f>
        <v>0</v>
      </c>
      <c r="E261" s="64" t="s">
        <v>79</v>
      </c>
      <c r="F261" s="51">
        <f>'Приложение 3'!G264</f>
        <v>0</v>
      </c>
      <c r="G261" s="51">
        <f>'Приложение 3'!H264</f>
        <v>0</v>
      </c>
      <c r="H261" s="88" t="e">
        <f t="shared" si="3"/>
        <v>#DIV/0!</v>
      </c>
    </row>
    <row r="262" spans="1:8" ht="48" outlineLevel="3">
      <c r="A262" s="39" t="str">
        <f>'Приложение 3'!A265</f>
        <v>Муниципальная программа "Организация деятельности МКОУ «Методический центр в системе дополнительного педагогического образования (повышение квалификации)» на 2024-2026 годы" </v>
      </c>
      <c r="B262" s="64" t="str">
        <f>'Приложение 3'!C265</f>
        <v>0709</v>
      </c>
      <c r="C262" s="64" t="str">
        <f>'Приложение 3'!D265</f>
        <v>58</v>
      </c>
      <c r="D262" s="64">
        <f>'Приложение 3'!E265</f>
        <v>0</v>
      </c>
      <c r="E262" s="64"/>
      <c r="F262" s="51">
        <f>'Приложение 3'!G265</f>
        <v>1700</v>
      </c>
      <c r="G262" s="51">
        <f>'Приложение 3'!H265</f>
        <v>365.71989</v>
      </c>
      <c r="H262" s="88">
        <f t="shared" si="3"/>
        <v>21.51293470588235</v>
      </c>
    </row>
    <row r="263" spans="1:8" ht="47.25" customHeight="1" outlineLevel="3">
      <c r="A263" s="39" t="str">
        <f>'Приложение 3'!A266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3" s="64" t="str">
        <f>'Приложение 3'!C266</f>
        <v>0709</v>
      </c>
      <c r="C263" s="64" t="str">
        <f>'Приложение 3'!D266</f>
        <v>58</v>
      </c>
      <c r="D263" s="64">
        <f>'Приложение 3'!E266</f>
        <v>0</v>
      </c>
      <c r="E263" s="64">
        <f>'Приложение 3'!F266</f>
        <v>100</v>
      </c>
      <c r="F263" s="51">
        <f>'Приложение 3'!G266</f>
        <v>1700</v>
      </c>
      <c r="G263" s="51">
        <f>'Приложение 3'!H266</f>
        <v>365.71989</v>
      </c>
      <c r="H263" s="88">
        <f t="shared" si="3"/>
        <v>21.51293470588235</v>
      </c>
    </row>
    <row r="264" spans="1:8" ht="14.25" customHeight="1" hidden="1" outlineLevel="3">
      <c r="A264" s="39" t="str">
        <f>'Приложение 3'!A267</f>
        <v>Закупка товаров, работ и услуг для государственных (муниципальных) нужд</v>
      </c>
      <c r="B264" s="64" t="str">
        <f>'Приложение 3'!C267</f>
        <v>0709</v>
      </c>
      <c r="C264" s="64" t="str">
        <f>'Приложение 3'!D267</f>
        <v>58</v>
      </c>
      <c r="D264" s="64">
        <f>'Приложение 3'!E267</f>
        <v>0</v>
      </c>
      <c r="E264" s="64">
        <f>'Приложение 3'!F267</f>
        <v>200</v>
      </c>
      <c r="F264" s="51">
        <f>'Приложение 3'!G267</f>
        <v>0</v>
      </c>
      <c r="G264" s="51">
        <f>'Приложение 3'!H267</f>
        <v>0</v>
      </c>
      <c r="H264" s="88" t="e">
        <f t="shared" si="3"/>
        <v>#DIV/0!</v>
      </c>
    </row>
    <row r="265" spans="1:8" ht="12.75" hidden="1" outlineLevel="3">
      <c r="A265" s="39" t="str">
        <f>'Приложение 3'!A268</f>
        <v>Иные бюджетные ассигнования</v>
      </c>
      <c r="B265" s="64" t="str">
        <f>'Приложение 3'!C268</f>
        <v>0709</v>
      </c>
      <c r="C265" s="64" t="str">
        <f>'Приложение 3'!D268</f>
        <v>58</v>
      </c>
      <c r="D265" s="64">
        <f>'Приложение 3'!E268</f>
        <v>0</v>
      </c>
      <c r="E265" s="64">
        <f>'Приложение 3'!F268</f>
        <v>800</v>
      </c>
      <c r="F265" s="51">
        <f>'Приложение 3'!G268</f>
        <v>0</v>
      </c>
      <c r="G265" s="51">
        <f>'Приложение 3'!H268</f>
        <v>0</v>
      </c>
      <c r="H265" s="88" t="e">
        <f t="shared" si="3"/>
        <v>#DIV/0!</v>
      </c>
    </row>
    <row r="266" spans="1:8" ht="12.75" outlineLevel="3">
      <c r="A266" s="39" t="str">
        <f>'Приложение 3'!A269</f>
        <v>Культура, кинематография </v>
      </c>
      <c r="B266" s="64" t="str">
        <f>'Приложение 3'!C269</f>
        <v>0800</v>
      </c>
      <c r="C266" s="64"/>
      <c r="D266" s="64"/>
      <c r="E266" s="64"/>
      <c r="F266" s="51">
        <f>'Приложение 3'!G269</f>
        <v>13223.271120000001</v>
      </c>
      <c r="G266" s="51">
        <f>'Приложение 3'!H269</f>
        <v>3419.8941100000006</v>
      </c>
      <c r="H266" s="88">
        <f aca="true" t="shared" si="4" ref="H266:H329">SUM(G266/F266)*100</f>
        <v>25.86269372354819</v>
      </c>
    </row>
    <row r="267" spans="1:8" ht="12.75" outlineLevel="3">
      <c r="A267" s="39" t="str">
        <f>'Приложение 3'!A270</f>
        <v>Культура</v>
      </c>
      <c r="B267" s="64" t="str">
        <f>'Приложение 3'!C270</f>
        <v>0801</v>
      </c>
      <c r="C267" s="64"/>
      <c r="D267" s="64"/>
      <c r="E267" s="64"/>
      <c r="F267" s="51">
        <f>'Приложение 3'!G270</f>
        <v>12681.99653</v>
      </c>
      <c r="G267" s="51">
        <f>'Приложение 3'!H270</f>
        <v>3276.2607100000005</v>
      </c>
      <c r="H267" s="88">
        <f t="shared" si="4"/>
        <v>25.833950531762213</v>
      </c>
    </row>
    <row r="268" spans="1:8" ht="24" hidden="1" outlineLevel="3">
      <c r="A268" s="39" t="str">
        <f>'Приложение 3'!A271</f>
        <v>Муниципальная программа "Комплексное развитие сельских территорий"</v>
      </c>
      <c r="B268" s="64" t="str">
        <f>'Приложение 3'!C271</f>
        <v>0801</v>
      </c>
      <c r="C268" s="64" t="str">
        <f>'Приложение 3'!D271</f>
        <v>03</v>
      </c>
      <c r="D268" s="64">
        <f>'Приложение 3'!E271</f>
        <v>0</v>
      </c>
      <c r="E268" s="64"/>
      <c r="F268" s="51">
        <f>'Приложение 3'!G271</f>
        <v>0</v>
      </c>
      <c r="G268" s="51">
        <f>'Приложение 3'!H271</f>
        <v>0</v>
      </c>
      <c r="H268" s="88" t="e">
        <f t="shared" si="4"/>
        <v>#DIV/0!</v>
      </c>
    </row>
    <row r="269" spans="1:8" ht="36" hidden="1" outlineLevel="3">
      <c r="A269" s="39" t="str">
        <f>'Приложение 3'!A272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69" s="64" t="str">
        <f>'Приложение 3'!C272</f>
        <v>0801</v>
      </c>
      <c r="C269" s="64" t="str">
        <f>'Приложение 3'!D272</f>
        <v>03</v>
      </c>
      <c r="D269" s="64">
        <f>'Приложение 3'!E272</f>
        <v>0</v>
      </c>
      <c r="E269" s="64">
        <f>'Приложение 3'!F272</f>
        <v>200</v>
      </c>
      <c r="F269" s="51">
        <f>'Приложение 3'!G272</f>
        <v>0</v>
      </c>
      <c r="G269" s="51">
        <f>'Приложение 3'!H272</f>
        <v>0</v>
      </c>
      <c r="H269" s="88" t="e">
        <f t="shared" si="4"/>
        <v>#DIV/0!</v>
      </c>
    </row>
    <row r="270" spans="1:8" ht="24" hidden="1" outlineLevel="3">
      <c r="A270" s="39" t="str">
        <f>'Приложение 3'!A273</f>
        <v>Закупка товаров, работ и услуг для государственных (муниципальных) нужд (софинансирование)</v>
      </c>
      <c r="B270" s="64" t="str">
        <f>'Приложение 3'!C273</f>
        <v>0801</v>
      </c>
      <c r="C270" s="64" t="str">
        <f>'Приложение 3'!D273</f>
        <v>03</v>
      </c>
      <c r="D270" s="64">
        <f>'Приложение 3'!E273</f>
        <v>0</v>
      </c>
      <c r="E270" s="64">
        <f>'Приложение 3'!F273</f>
        <v>200</v>
      </c>
      <c r="F270" s="51">
        <f>'Приложение 3'!G273</f>
        <v>0</v>
      </c>
      <c r="G270" s="51">
        <f>'Приложение 3'!H273</f>
        <v>0</v>
      </c>
      <c r="H270" s="88" t="e">
        <f t="shared" si="4"/>
        <v>#DIV/0!</v>
      </c>
    </row>
    <row r="271" spans="1:8" ht="38.25" customHeight="1" outlineLevel="3">
      <c r="A271" s="39" t="str">
        <f>'Приложение 3'!A274</f>
        <v>Муниципальная программа "Развитие народных художественных промыслов Алексеевского муниципального района на 2024-2026 годы"</v>
      </c>
      <c r="B271" s="64" t="str">
        <f>'Приложение 3'!C274</f>
        <v>0801</v>
      </c>
      <c r="C271" s="64" t="str">
        <f>'Приложение 3'!D274</f>
        <v>12</v>
      </c>
      <c r="D271" s="64">
        <f>'Приложение 3'!E274</f>
        <v>0</v>
      </c>
      <c r="E271" s="64"/>
      <c r="F271" s="51">
        <f>'Приложение 3'!G274</f>
        <v>20</v>
      </c>
      <c r="G271" s="51">
        <f>'Приложение 3'!H274</f>
        <v>0</v>
      </c>
      <c r="H271" s="88">
        <f t="shared" si="4"/>
        <v>0</v>
      </c>
    </row>
    <row r="272" spans="1:8" ht="26.25" customHeight="1" outlineLevel="3">
      <c r="A272" s="39" t="str">
        <f>'Приложение 3'!A275</f>
        <v>Предоставление субсидий бюджетным, автономным учреждениям и иным некоммерческим организациям</v>
      </c>
      <c r="B272" s="64" t="str">
        <f>'Приложение 3'!C275</f>
        <v>0801</v>
      </c>
      <c r="C272" s="64" t="str">
        <f>'Приложение 3'!D275</f>
        <v>12</v>
      </c>
      <c r="D272" s="64">
        <f>'Приложение 3'!E275</f>
        <v>0</v>
      </c>
      <c r="E272" s="64">
        <f>'Приложение 3'!F275</f>
        <v>600</v>
      </c>
      <c r="F272" s="51">
        <f>'Приложение 3'!G275</f>
        <v>20</v>
      </c>
      <c r="G272" s="51">
        <f>'Приложение 3'!H275</f>
        <v>0</v>
      </c>
      <c r="H272" s="88">
        <f t="shared" si="4"/>
        <v>0</v>
      </c>
    </row>
    <row r="273" spans="1:8" ht="36" outlineLevel="3">
      <c r="A273" s="39" t="str">
        <f>'Приложение 3'!A276</f>
        <v>Муниципальная программа "О поддержке деятельности казачьих обществ Алексеевского муниципального района на 2024-2026 годы"</v>
      </c>
      <c r="B273" s="64" t="str">
        <f>'Приложение 3'!C276</f>
        <v>0801</v>
      </c>
      <c r="C273" s="64" t="str">
        <f>'Приложение 3'!D276</f>
        <v>13</v>
      </c>
      <c r="D273" s="64">
        <f>'Приложение 3'!E276</f>
        <v>0</v>
      </c>
      <c r="E273" s="64"/>
      <c r="F273" s="51">
        <f>'Приложение 3'!G276</f>
        <v>20</v>
      </c>
      <c r="G273" s="51">
        <f>'Приложение 3'!H276</f>
        <v>0</v>
      </c>
      <c r="H273" s="88">
        <f t="shared" si="4"/>
        <v>0</v>
      </c>
    </row>
    <row r="274" spans="1:8" ht="24" outlineLevel="3">
      <c r="A274" s="39" t="str">
        <f>'Приложение 3'!A277</f>
        <v>Предоставление субсидий бюджетным, автономным учреждениям и иным некоммерческим организациям</v>
      </c>
      <c r="B274" s="64" t="str">
        <f>'Приложение 3'!C277</f>
        <v>0801</v>
      </c>
      <c r="C274" s="64" t="str">
        <f>'Приложение 3'!D277</f>
        <v>13</v>
      </c>
      <c r="D274" s="64">
        <f>'Приложение 3'!E277</f>
        <v>0</v>
      </c>
      <c r="E274" s="64">
        <f>'Приложение 3'!F277</f>
        <v>600</v>
      </c>
      <c r="F274" s="51">
        <f>'Приложение 3'!G277</f>
        <v>20</v>
      </c>
      <c r="G274" s="51">
        <f>'Приложение 3'!H277</f>
        <v>0</v>
      </c>
      <c r="H274" s="88">
        <f t="shared" si="4"/>
        <v>0</v>
      </c>
    </row>
    <row r="275" spans="1:8" ht="24" hidden="1" outlineLevel="3">
      <c r="A275" s="39" t="str">
        <f>'Приложение 3'!A278</f>
        <v>Непрограммные расходы органов местного самоуправления Алексеевского муниципального района</v>
      </c>
      <c r="B275" s="64" t="str">
        <f>'Приложение 3'!C278</f>
        <v>0801</v>
      </c>
      <c r="C275" s="64" t="str">
        <f>'Приложение 3'!D278</f>
        <v>99</v>
      </c>
      <c r="D275" s="64">
        <f>'Приложение 3'!E278</f>
        <v>0</v>
      </c>
      <c r="E275" s="64"/>
      <c r="F275" s="51">
        <f>'Приложение 3'!G278</f>
        <v>0</v>
      </c>
      <c r="G275" s="51">
        <f>'Приложение 3'!H278</f>
        <v>0</v>
      </c>
      <c r="H275" s="88" t="e">
        <f t="shared" si="4"/>
        <v>#DIV/0!</v>
      </c>
    </row>
    <row r="276" spans="1:8" ht="24" hidden="1" outlineLevel="3">
      <c r="A276" s="39" t="str">
        <f>'Приложение 3'!A279</f>
        <v>Закупка товаров, работ и услуг для государственных (муниципальных) нужд</v>
      </c>
      <c r="B276" s="64" t="str">
        <f>'Приложение 3'!C279</f>
        <v>0801</v>
      </c>
      <c r="C276" s="64" t="str">
        <f>'Приложение 3'!D279</f>
        <v>99</v>
      </c>
      <c r="D276" s="64">
        <f>'Приложение 3'!E279</f>
        <v>0</v>
      </c>
      <c r="E276" s="64">
        <f>'Приложение 3'!F279</f>
        <v>200</v>
      </c>
      <c r="F276" s="51">
        <f>'Приложение 3'!G279</f>
        <v>0</v>
      </c>
      <c r="G276" s="51">
        <f>'Приложение 3'!H279</f>
        <v>0</v>
      </c>
      <c r="H276" s="88" t="e">
        <f t="shared" si="4"/>
        <v>#DIV/0!</v>
      </c>
    </row>
    <row r="277" spans="1:8" ht="36.75" customHeight="1" outlineLevel="1">
      <c r="A277" s="39" t="str">
        <f>'Приложение 3'!A280</f>
        <v>Муниципальная программа "Развитие культуры и искусства в Алексеевском муниципальном районе на 2024-2026 годы"</v>
      </c>
      <c r="B277" s="64" t="str">
        <f>'Приложение 3'!C280</f>
        <v>0800</v>
      </c>
      <c r="C277" s="64" t="str">
        <f>'Приложение 3'!D280</f>
        <v>59</v>
      </c>
      <c r="D277" s="64">
        <f>'Приложение 3'!E280</f>
        <v>0</v>
      </c>
      <c r="E277" s="64"/>
      <c r="F277" s="51">
        <f>'Приложение 3'!G280</f>
        <v>13183.271120000001</v>
      </c>
      <c r="G277" s="51">
        <f>'Приложение 3'!H280</f>
        <v>3419.8941100000006</v>
      </c>
      <c r="H277" s="88">
        <f t="shared" si="4"/>
        <v>25.941164972415436</v>
      </c>
    </row>
    <row r="278" spans="1:8" ht="16.5" customHeight="1" outlineLevel="3">
      <c r="A278" s="39" t="str">
        <f>'Приложение 3'!A281</f>
        <v>Дворцы и дома культуры, другие учреждения культуры</v>
      </c>
      <c r="B278" s="64" t="str">
        <f>'Приложение 3'!C281</f>
        <v>0801</v>
      </c>
      <c r="C278" s="64" t="str">
        <f>'Приложение 3'!D281</f>
        <v>59</v>
      </c>
      <c r="D278" s="64">
        <f>'Приложение 3'!E281</f>
        <v>0</v>
      </c>
      <c r="E278" s="64"/>
      <c r="F278" s="51">
        <f>'Приложение 3'!G281</f>
        <v>9382.669750000001</v>
      </c>
      <c r="G278" s="51">
        <f>'Приложение 3'!H281</f>
        <v>2745.50669</v>
      </c>
      <c r="H278" s="88">
        <f t="shared" si="4"/>
        <v>29.26146569317331</v>
      </c>
    </row>
    <row r="279" spans="1:8" ht="24" customHeight="1" outlineLevel="3">
      <c r="A279" s="39" t="str">
        <f>'Приложение 3'!A282</f>
        <v>Предоставление субсидий бюджетным, автономным учреждениям и иным некоммерческим организациям</v>
      </c>
      <c r="B279" s="64" t="str">
        <f>'Приложение 3'!C282</f>
        <v>0801</v>
      </c>
      <c r="C279" s="64" t="str">
        <f>'Приложение 3'!D282</f>
        <v>59</v>
      </c>
      <c r="D279" s="64">
        <f>'Приложение 3'!E282</f>
        <v>0</v>
      </c>
      <c r="E279" s="64">
        <f>'Приложение 3'!F282</f>
        <v>600</v>
      </c>
      <c r="F279" s="51">
        <f>'Приложение 3'!G282</f>
        <v>9382.669750000001</v>
      </c>
      <c r="G279" s="51">
        <f>'Приложение 3'!H282</f>
        <v>2745.50669</v>
      </c>
      <c r="H279" s="88">
        <f t="shared" si="4"/>
        <v>29.26146569317331</v>
      </c>
    </row>
    <row r="280" spans="1:8" ht="14.25" customHeight="1" outlineLevel="3">
      <c r="A280" s="39" t="str">
        <f>'Приложение 3'!A283</f>
        <v>Музей</v>
      </c>
      <c r="B280" s="64" t="str">
        <f>'Приложение 3'!C283</f>
        <v>0801</v>
      </c>
      <c r="C280" s="64" t="str">
        <f>'Приложение 3'!D283</f>
        <v>59</v>
      </c>
      <c r="D280" s="64">
        <f>'Приложение 3'!E283</f>
        <v>0</v>
      </c>
      <c r="E280" s="64"/>
      <c r="F280" s="51">
        <f>'Приложение 3'!G283</f>
        <v>1749.72602</v>
      </c>
      <c r="G280" s="51">
        <f>'Приложение 3'!H283</f>
        <v>272.44896</v>
      </c>
      <c r="H280" s="88">
        <f t="shared" si="4"/>
        <v>15.570949787898794</v>
      </c>
    </row>
    <row r="281" spans="1:8" ht="31.5" customHeight="1" outlineLevel="3">
      <c r="A281" s="39" t="str">
        <f>'Приложение 3'!A284</f>
        <v>Предоставление субсидий бюджетным, автономным учреждениям и иным некоммерческим организациям</v>
      </c>
      <c r="B281" s="64" t="str">
        <f>'Приложение 3'!C284</f>
        <v>0801</v>
      </c>
      <c r="C281" s="64" t="str">
        <f>'Приложение 3'!D284</f>
        <v>59</v>
      </c>
      <c r="D281" s="64">
        <f>'Приложение 3'!E284</f>
        <v>0</v>
      </c>
      <c r="E281" s="64">
        <f>'Приложение 3'!F284</f>
        <v>600</v>
      </c>
      <c r="F281" s="51">
        <f>'Приложение 3'!G284</f>
        <v>1749.72602</v>
      </c>
      <c r="G281" s="51">
        <f>'Приложение 3'!H284</f>
        <v>272.44896</v>
      </c>
      <c r="H281" s="88">
        <f t="shared" si="4"/>
        <v>15.570949787898794</v>
      </c>
    </row>
    <row r="282" spans="1:8" ht="16.5" customHeight="1" outlineLevel="3">
      <c r="A282" s="39" t="str">
        <f>'Приложение 3'!A285</f>
        <v>Библиотеки</v>
      </c>
      <c r="B282" s="64" t="str">
        <f>'Приложение 3'!C285</f>
        <v>0801</v>
      </c>
      <c r="C282" s="64" t="str">
        <f>'Приложение 3'!D285</f>
        <v>59</v>
      </c>
      <c r="D282" s="64">
        <f>'Приложение 3'!E285</f>
        <v>0</v>
      </c>
      <c r="E282" s="64"/>
      <c r="F282" s="51">
        <f>'Приложение 3'!G285</f>
        <v>1509.60076</v>
      </c>
      <c r="G282" s="51">
        <f>'Приложение 3'!H285</f>
        <v>258.30506</v>
      </c>
      <c r="H282" s="88">
        <f t="shared" si="4"/>
        <v>17.11081941956627</v>
      </c>
    </row>
    <row r="283" spans="1:8" ht="27" customHeight="1" outlineLevel="1">
      <c r="A283" s="39" t="str">
        <f>'Приложение 3'!A286</f>
        <v>Предоставление субсидий бюджетным, автономным учреждениям и иным некоммерческим организациям</v>
      </c>
      <c r="B283" s="64" t="str">
        <f>'Приложение 3'!C286</f>
        <v>0801</v>
      </c>
      <c r="C283" s="64" t="str">
        <f>'Приложение 3'!D286</f>
        <v>59</v>
      </c>
      <c r="D283" s="64">
        <f>'Приложение 3'!E286</f>
        <v>0</v>
      </c>
      <c r="E283" s="64">
        <f>'Приложение 3'!F286</f>
        <v>600</v>
      </c>
      <c r="F283" s="51">
        <f>'Приложение 3'!G286</f>
        <v>1509.60076</v>
      </c>
      <c r="G283" s="51">
        <f>'Приложение 3'!H286</f>
        <v>258.30506</v>
      </c>
      <c r="H283" s="88">
        <f t="shared" si="4"/>
        <v>17.11081941956627</v>
      </c>
    </row>
    <row r="284" spans="1:8" ht="12" customHeight="1" outlineLevel="3">
      <c r="A284" s="39" t="str">
        <f>'Приложение 3'!A287</f>
        <v>Кинематография</v>
      </c>
      <c r="B284" s="64" t="str">
        <f>'Приложение 3'!C287</f>
        <v>0802</v>
      </c>
      <c r="C284" s="64" t="str">
        <f>'Приложение 3'!D287</f>
        <v>59</v>
      </c>
      <c r="D284" s="64">
        <f>'Приложение 3'!E287</f>
        <v>0</v>
      </c>
      <c r="E284" s="64"/>
      <c r="F284" s="51">
        <f>'Приложение 3'!G287</f>
        <v>541.27459</v>
      </c>
      <c r="G284" s="51">
        <f>'Приложение 3'!H287</f>
        <v>143.6334</v>
      </c>
      <c r="H284" s="88">
        <f t="shared" si="4"/>
        <v>26.536143143168793</v>
      </c>
    </row>
    <row r="285" spans="1:8" ht="26.25" customHeight="1" outlineLevel="3">
      <c r="A285" s="39" t="str">
        <f>'Приложение 3'!A288</f>
        <v>Предоставление субсидий бюджетным, автономным учреждениям и иным некоммерческим организациям</v>
      </c>
      <c r="B285" s="64" t="str">
        <f>'Приложение 3'!C288</f>
        <v>0802</v>
      </c>
      <c r="C285" s="64" t="str">
        <f>'Приложение 3'!D288</f>
        <v>59</v>
      </c>
      <c r="D285" s="64">
        <f>'Приложение 3'!E288</f>
        <v>0</v>
      </c>
      <c r="E285" s="64">
        <f>'Приложение 3'!F288</f>
        <v>600</v>
      </c>
      <c r="F285" s="51">
        <f>'Приложение 3'!G288</f>
        <v>541.27459</v>
      </c>
      <c r="G285" s="51">
        <f>'Приложение 3'!H288</f>
        <v>143.6334</v>
      </c>
      <c r="H285" s="88">
        <f t="shared" si="4"/>
        <v>26.536143143168793</v>
      </c>
    </row>
    <row r="286" spans="1:8" ht="12.75" hidden="1" outlineLevel="3">
      <c r="A286" s="39" t="str">
        <f>'Приложение 3'!A289</f>
        <v>Другие вопросы в области культуры, кинематографии </v>
      </c>
      <c r="B286" s="64" t="str">
        <f>'Приложение 3'!C289</f>
        <v>0804</v>
      </c>
      <c r="C286" s="64" t="str">
        <f>'Приложение 3'!D289</f>
        <v>59</v>
      </c>
      <c r="D286" s="64">
        <f>'Приложение 3'!E289</f>
        <v>0</v>
      </c>
      <c r="E286" s="64"/>
      <c r="F286" s="51">
        <f>'Приложение 3'!G289</f>
        <v>0</v>
      </c>
      <c r="G286" s="51">
        <f>'Приложение 3'!H289</f>
        <v>0</v>
      </c>
      <c r="H286" s="88" t="e">
        <f t="shared" si="4"/>
        <v>#DIV/0!</v>
      </c>
    </row>
    <row r="287" spans="1:8" ht="24" hidden="1" outlineLevel="3">
      <c r="A287" s="39" t="str">
        <f>'Приложение 3'!A290</f>
        <v>Предоставление субсидий бюджетным, автономным учреждениям и иным некоммерческим организациям</v>
      </c>
      <c r="B287" s="64" t="str">
        <f>'Приложение 3'!C290</f>
        <v>0804</v>
      </c>
      <c r="C287" s="64" t="str">
        <f>'Приложение 3'!D290</f>
        <v>59</v>
      </c>
      <c r="D287" s="64">
        <f>'Приложение 3'!E290</f>
        <v>0</v>
      </c>
      <c r="E287" s="64">
        <f>'Приложение 3'!F290</f>
        <v>600</v>
      </c>
      <c r="F287" s="51">
        <f>'Приложение 3'!G290</f>
        <v>0</v>
      </c>
      <c r="G287" s="51">
        <f>'Приложение 3'!H290</f>
        <v>0</v>
      </c>
      <c r="H287" s="88" t="e">
        <f t="shared" si="4"/>
        <v>#DIV/0!</v>
      </c>
    </row>
    <row r="288" spans="1:8" ht="40.5" customHeight="1" hidden="1" outlineLevel="3">
      <c r="A288" s="39" t="str">
        <f>'Приложение 3'!A291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88" s="64" t="str">
        <f>'Приложение 3'!C291</f>
        <v>0804</v>
      </c>
      <c r="C288" s="64" t="str">
        <f>'Приложение 3'!D291</f>
        <v>10</v>
      </c>
      <c r="D288" s="64">
        <f>'Приложение 3'!E291</f>
        <v>0</v>
      </c>
      <c r="E288" s="64"/>
      <c r="F288" s="64">
        <f>'Приложение 3'!G291</f>
        <v>0</v>
      </c>
      <c r="G288" s="64">
        <f>'Приложение 3'!H291</f>
        <v>0</v>
      </c>
      <c r="H288" s="88" t="e">
        <f t="shared" si="4"/>
        <v>#DIV/0!</v>
      </c>
    </row>
    <row r="289" spans="1:8" ht="36" hidden="1" outlineLevel="3">
      <c r="A289" s="39" t="str">
        <f>'Приложение 3'!A292</f>
        <v>Межбюджетные трансферты за счет средств субсидии на благоустройство и ремонт памятников, обелисков и воинских захоронений</v>
      </c>
      <c r="B289" s="64" t="str">
        <f>'Приложение 3'!C292</f>
        <v>0804</v>
      </c>
      <c r="C289" s="64" t="str">
        <f>'Приложение 3'!D292</f>
        <v>10</v>
      </c>
      <c r="D289" s="64">
        <f>'Приложение 3'!E292</f>
        <v>0</v>
      </c>
      <c r="E289" s="64">
        <f>'Приложение 3'!F292</f>
        <v>500</v>
      </c>
      <c r="F289" s="64">
        <f>'Приложение 3'!G292</f>
        <v>0</v>
      </c>
      <c r="G289" s="64">
        <f>'Приложение 3'!H292</f>
        <v>0</v>
      </c>
      <c r="H289" s="88" t="e">
        <f t="shared" si="4"/>
        <v>#DIV/0!</v>
      </c>
    </row>
    <row r="290" spans="1:8" ht="12.75" hidden="1" outlineLevel="3">
      <c r="A290" s="39" t="str">
        <f>'Приложение 3'!A293</f>
        <v>Здравоохранение</v>
      </c>
      <c r="B290" s="64" t="str">
        <f>'Приложение 3'!C293</f>
        <v>0900</v>
      </c>
      <c r="C290" s="64"/>
      <c r="D290" s="64"/>
      <c r="E290" s="64"/>
      <c r="F290" s="51">
        <f>'Приложение 3'!G293</f>
        <v>0</v>
      </c>
      <c r="G290" s="51">
        <f>'Приложение 3'!H293</f>
        <v>0</v>
      </c>
      <c r="H290" s="88" t="e">
        <f t="shared" si="4"/>
        <v>#DIV/0!</v>
      </c>
    </row>
    <row r="291" spans="1:8" ht="12.75" hidden="1" outlineLevel="3">
      <c r="A291" s="39" t="str">
        <f>'Приложение 3'!A294</f>
        <v>Амбулаторная помощь</v>
      </c>
      <c r="B291" s="64" t="str">
        <f>'Приложение 3'!C294</f>
        <v>0902</v>
      </c>
      <c r="C291" s="64"/>
      <c r="D291" s="64"/>
      <c r="E291" s="64"/>
      <c r="F291" s="51">
        <f>'Приложение 3'!G294</f>
        <v>0</v>
      </c>
      <c r="G291" s="51">
        <f>'Приложение 3'!H294</f>
        <v>0</v>
      </c>
      <c r="H291" s="88" t="e">
        <f t="shared" si="4"/>
        <v>#DIV/0!</v>
      </c>
    </row>
    <row r="292" spans="1:8" ht="36" hidden="1" outlineLevel="3">
      <c r="A292" s="39" t="str">
        <f>'Приложение 3'!A295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92" s="64" t="str">
        <f>'Приложение 3'!C295</f>
        <v>0902</v>
      </c>
      <c r="C292" s="64" t="str">
        <f>'Приложение 3'!D295</f>
        <v>02</v>
      </c>
      <c r="D292" s="64">
        <f>'Приложение 3'!E295</f>
        <v>0</v>
      </c>
      <c r="E292" s="64"/>
      <c r="F292" s="51">
        <f>'Приложение 3'!G295</f>
        <v>0</v>
      </c>
      <c r="G292" s="51">
        <f>'Приложение 3'!H295</f>
        <v>0</v>
      </c>
      <c r="H292" s="88" t="e">
        <f t="shared" si="4"/>
        <v>#DIV/0!</v>
      </c>
    </row>
    <row r="293" spans="1:8" ht="36" hidden="1">
      <c r="A293" s="39" t="str">
        <f>'Приложение 3'!A296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93" s="64" t="str">
        <f>'Приложение 3'!C296</f>
        <v>0902</v>
      </c>
      <c r="C293" s="64" t="str">
        <f>'Приложение 3'!D296</f>
        <v>02</v>
      </c>
      <c r="D293" s="64">
        <f>'Приложение 3'!E296</f>
        <v>3</v>
      </c>
      <c r="E293" s="64"/>
      <c r="F293" s="51">
        <f>'Приложение 3'!G296</f>
        <v>0</v>
      </c>
      <c r="G293" s="51">
        <f>'Приложение 3'!H296</f>
        <v>0</v>
      </c>
      <c r="H293" s="88" t="e">
        <f t="shared" si="4"/>
        <v>#DIV/0!</v>
      </c>
    </row>
    <row r="294" spans="1:8" s="15" customFormat="1" ht="24" hidden="1" outlineLevel="2">
      <c r="A294" s="39" t="str">
        <f>'Приложение 3'!A297</f>
        <v>Капитальные вложения в объекты государственной (муниципальной) собственности</v>
      </c>
      <c r="B294" s="64" t="str">
        <f>'Приложение 3'!C297</f>
        <v>0902</v>
      </c>
      <c r="C294" s="64" t="str">
        <f>'Приложение 3'!D297</f>
        <v>02</v>
      </c>
      <c r="D294" s="64">
        <f>'Приложение 3'!E297</f>
        <v>3</v>
      </c>
      <c r="E294" s="64">
        <f>'Приложение 3'!F297</f>
        <v>400</v>
      </c>
      <c r="F294" s="51">
        <f>'Приложение 3'!G297</f>
        <v>0</v>
      </c>
      <c r="G294" s="51">
        <f>'Приложение 3'!H297</f>
        <v>0</v>
      </c>
      <c r="H294" s="88" t="e">
        <f t="shared" si="4"/>
        <v>#DIV/0!</v>
      </c>
    </row>
    <row r="295" spans="1:8" s="15" customFormat="1" ht="15" customHeight="1" outlineLevel="2">
      <c r="A295" s="39" t="str">
        <f>'Приложение 3'!A298</f>
        <v>Социальная политика</v>
      </c>
      <c r="B295" s="64" t="str">
        <f>'Приложение 3'!C298</f>
        <v>1000</v>
      </c>
      <c r="C295" s="64"/>
      <c r="D295" s="64"/>
      <c r="E295" s="64"/>
      <c r="F295" s="51">
        <f>'Приложение 3'!G298</f>
        <v>27965.196</v>
      </c>
      <c r="G295" s="51">
        <f>'Приложение 3'!H298</f>
        <v>6385.55094</v>
      </c>
      <c r="H295" s="88">
        <f t="shared" si="4"/>
        <v>22.833921636022147</v>
      </c>
    </row>
    <row r="296" spans="1:8" s="15" customFormat="1" ht="15.75" customHeight="1" outlineLevel="2">
      <c r="A296" s="39" t="str">
        <f>'Приложение 3'!A299</f>
        <v>Доплаты к пенсии государственных служащих субъектов Российской Федерации и муниципальных служащих</v>
      </c>
      <c r="B296" s="64" t="str">
        <f>'Приложение 3'!C299</f>
        <v>1001</v>
      </c>
      <c r="C296" s="64"/>
      <c r="D296" s="64"/>
      <c r="E296" s="64"/>
      <c r="F296" s="51">
        <f>'Приложение 3'!G299</f>
        <v>5000</v>
      </c>
      <c r="G296" s="51">
        <f>'Приложение 3'!H299</f>
        <v>832.3544</v>
      </c>
      <c r="H296" s="88">
        <f t="shared" si="4"/>
        <v>16.647088</v>
      </c>
    </row>
    <row r="297" spans="1:8" ht="15" customHeight="1" outlineLevel="3">
      <c r="A297" s="39" t="str">
        <f>'Приложение 3'!A300</f>
        <v>Непрограммные расходы органов местного самоуправления Алексеевского муниципального района</v>
      </c>
      <c r="B297" s="64" t="str">
        <f>'Приложение 3'!C300</f>
        <v>1001</v>
      </c>
      <c r="C297" s="64" t="str">
        <f>'Приложение 3'!D300</f>
        <v>99</v>
      </c>
      <c r="D297" s="64">
        <f>'Приложение 3'!E300</f>
        <v>0</v>
      </c>
      <c r="E297" s="64"/>
      <c r="F297" s="51">
        <f>'Приложение 3'!G300</f>
        <v>5000</v>
      </c>
      <c r="G297" s="51">
        <f>'Приложение 3'!H300</f>
        <v>832.3544</v>
      </c>
      <c r="H297" s="88">
        <f t="shared" si="4"/>
        <v>16.647088</v>
      </c>
    </row>
    <row r="298" spans="1:8" s="15" customFormat="1" ht="12.75" outlineLevel="2">
      <c r="A298" s="39" t="str">
        <f>'Приложение 3'!A301</f>
        <v>Социальное обеспечение и иные выплаты населению</v>
      </c>
      <c r="B298" s="64" t="str">
        <f>'Приложение 3'!C301</f>
        <v>1001</v>
      </c>
      <c r="C298" s="64" t="str">
        <f>'Приложение 3'!D301</f>
        <v>99</v>
      </c>
      <c r="D298" s="64">
        <f>'Приложение 3'!E301</f>
        <v>0</v>
      </c>
      <c r="E298" s="64">
        <f>'Приложение 3'!F301</f>
        <v>300</v>
      </c>
      <c r="F298" s="51">
        <f>'Приложение 3'!G301</f>
        <v>5000</v>
      </c>
      <c r="G298" s="51">
        <f>'Приложение 3'!H301</f>
        <v>832.3544</v>
      </c>
      <c r="H298" s="88">
        <f t="shared" si="4"/>
        <v>16.647088</v>
      </c>
    </row>
    <row r="299" spans="1:8" s="15" customFormat="1" ht="14.25" customHeight="1" outlineLevel="2">
      <c r="A299" s="39" t="str">
        <f>'Приложение 3'!A302</f>
        <v>Социальное обеспечение населения</v>
      </c>
      <c r="B299" s="64" t="str">
        <f>'Приложение 3'!C302</f>
        <v>1003</v>
      </c>
      <c r="C299" s="64"/>
      <c r="D299" s="64"/>
      <c r="E299" s="64"/>
      <c r="F299" s="51">
        <f>'Приложение 3'!G302</f>
        <v>12684.749</v>
      </c>
      <c r="G299" s="51">
        <f>'Приложение 3'!H302</f>
        <v>3515.7525800000003</v>
      </c>
      <c r="H299" s="88">
        <f t="shared" si="4"/>
        <v>27.71637483721594</v>
      </c>
    </row>
    <row r="300" spans="1:8" s="15" customFormat="1" ht="75.75" customHeight="1" outlineLevel="2">
      <c r="A300" s="39" t="str">
        <f>'Приложение 3'!A303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также, в возмещении части арендной платы за жилье молодым специалистам, работающим в Алексеевском муниципальном районе 2024-2026 годы"</v>
      </c>
      <c r="B300" s="64" t="str">
        <f>'Приложение 3'!C303</f>
        <v>1003</v>
      </c>
      <c r="C300" s="64" t="str">
        <f>'Приложение 3'!D303</f>
        <v>14</v>
      </c>
      <c r="D300" s="64">
        <f>'Приложение 3'!E303</f>
        <v>0</v>
      </c>
      <c r="E300" s="64"/>
      <c r="F300" s="51">
        <f>'Приложение 3'!G303</f>
        <v>600</v>
      </c>
      <c r="G300" s="51">
        <f>'Приложение 3'!H303</f>
        <v>0</v>
      </c>
      <c r="H300" s="88">
        <f t="shared" si="4"/>
        <v>0</v>
      </c>
    </row>
    <row r="301" spans="1:8" ht="12.75" outlineLevel="3">
      <c r="A301" s="39" t="str">
        <f>'Приложение 3'!A304</f>
        <v>Социальное обеспечение и иные выплаты населению</v>
      </c>
      <c r="B301" s="64" t="str">
        <f>'Приложение 3'!C304</f>
        <v>1003</v>
      </c>
      <c r="C301" s="64" t="str">
        <f>'Приложение 3'!D304</f>
        <v>14</v>
      </c>
      <c r="D301" s="64">
        <f>'Приложение 3'!E304</f>
        <v>0</v>
      </c>
      <c r="E301" s="64">
        <f>'Приложение 3'!F304</f>
        <v>300</v>
      </c>
      <c r="F301" s="51">
        <f>'Приложение 3'!G304</f>
        <v>600</v>
      </c>
      <c r="G301" s="51">
        <f>'Приложение 3'!H304</f>
        <v>0</v>
      </c>
      <c r="H301" s="88">
        <f t="shared" si="4"/>
        <v>0</v>
      </c>
    </row>
    <row r="302" spans="1:8" ht="12.75" customHeight="1" outlineLevel="1">
      <c r="A302" s="39" t="str">
        <f>'Приложение 3'!A305</f>
        <v>Непрограммные расходы органов местного самоуправления Алексеевского муниципального района</v>
      </c>
      <c r="B302" s="64" t="str">
        <f>'Приложение 3'!C305</f>
        <v>1003</v>
      </c>
      <c r="C302" s="64" t="str">
        <f>'Приложение 3'!D305</f>
        <v>99</v>
      </c>
      <c r="D302" s="64">
        <f>'Приложение 3'!E305</f>
        <v>0</v>
      </c>
      <c r="E302" s="64"/>
      <c r="F302" s="51">
        <f>'Приложение 3'!G305</f>
        <v>12084.749</v>
      </c>
      <c r="G302" s="51">
        <f>'Приложение 3'!H305</f>
        <v>3515.7525800000003</v>
      </c>
      <c r="H302" s="88">
        <f t="shared" si="4"/>
        <v>29.092474986447797</v>
      </c>
    </row>
    <row r="303" spans="1:8" ht="12.75" hidden="1" outlineLevel="1">
      <c r="A303" s="39" t="str">
        <f>'Приложение 3'!A306</f>
        <v>Резервный фонд Администрации Волгоградской области</v>
      </c>
      <c r="B303" s="64" t="str">
        <f>'Приложение 3'!C306</f>
        <v>1003</v>
      </c>
      <c r="C303" s="64" t="str">
        <f>'Приложение 3'!D306</f>
        <v>99</v>
      </c>
      <c r="D303" s="64">
        <f>'Приложение 3'!E306</f>
        <v>0</v>
      </c>
      <c r="E303" s="64"/>
      <c r="F303" s="51">
        <f>'Приложение 3'!G306</f>
        <v>0</v>
      </c>
      <c r="G303" s="51">
        <f>'Приложение 3'!H306</f>
        <v>0</v>
      </c>
      <c r="H303" s="88" t="e">
        <f t="shared" si="4"/>
        <v>#DIV/0!</v>
      </c>
    </row>
    <row r="304" spans="1:8" ht="12.75" customHeight="1" outlineLevel="1">
      <c r="A304" s="39" t="str">
        <f>'Приложение 3'!A307</f>
        <v>Социальное обеспечение и иные выплаты населению</v>
      </c>
      <c r="B304" s="64" t="str">
        <f>'Приложение 3'!C307</f>
        <v>1003</v>
      </c>
      <c r="C304" s="64" t="str">
        <f>'Приложение 3'!D307</f>
        <v>99</v>
      </c>
      <c r="D304" s="64">
        <f>'Приложение 3'!E307</f>
        <v>0</v>
      </c>
      <c r="E304" s="64">
        <f>'Приложение 3'!F307</f>
        <v>300</v>
      </c>
      <c r="F304" s="51">
        <f>'Приложение 3'!G307</f>
        <v>0</v>
      </c>
      <c r="G304" s="51">
        <f>'Приложение 3'!H307</f>
        <v>0</v>
      </c>
      <c r="H304" s="88" t="e">
        <f t="shared" si="4"/>
        <v>#DIV/0!</v>
      </c>
    </row>
    <row r="305" spans="1:8" ht="24" hidden="1" outlineLevel="1">
      <c r="A305" s="39" t="str">
        <f>'Приложение 3'!A308</f>
        <v>Закупка товаров, работ и услуг для государственных (муниципальных) нужд</v>
      </c>
      <c r="B305" s="64" t="str">
        <f>'Приложение 3'!C308</f>
        <v>1003</v>
      </c>
      <c r="C305" s="64" t="str">
        <f>'Приложение 3'!D308</f>
        <v>99</v>
      </c>
      <c r="D305" s="64">
        <f>'Приложение 3'!E308</f>
        <v>0</v>
      </c>
      <c r="E305" s="64">
        <f>'Приложение 3'!F308</f>
        <v>200</v>
      </c>
      <c r="F305" s="51">
        <f>'Приложение 3'!G308</f>
        <v>0</v>
      </c>
      <c r="G305" s="51">
        <f>'Приложение 3'!H308</f>
        <v>0</v>
      </c>
      <c r="H305" s="88" t="e">
        <f t="shared" si="4"/>
        <v>#DIV/0!</v>
      </c>
    </row>
    <row r="306" spans="1:8" ht="72.75" customHeight="1" outlineLevel="1">
      <c r="A306" s="39" t="str">
        <f>'Приложение 3'!A309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06" s="64" t="str">
        <f>'Приложение 3'!C309</f>
        <v>1003</v>
      </c>
      <c r="C306" s="64" t="str">
        <f>'Приложение 3'!D309</f>
        <v>99</v>
      </c>
      <c r="D306" s="64">
        <f>'Приложение 3'!E309</f>
        <v>0</v>
      </c>
      <c r="E306" s="64"/>
      <c r="F306" s="51">
        <f>'Приложение 3'!G309</f>
        <v>8266.649</v>
      </c>
      <c r="G306" s="51">
        <f>'Приложение 3'!H309</f>
        <v>3379.02406</v>
      </c>
      <c r="H306" s="88">
        <f t="shared" si="4"/>
        <v>40.87537840302643</v>
      </c>
    </row>
    <row r="307" spans="1:8" ht="16.5" customHeight="1" outlineLevel="2">
      <c r="A307" s="39" t="str">
        <f>'Приложение 3'!A310</f>
        <v>Социальное обеспечение и иные выплаты населению</v>
      </c>
      <c r="B307" s="64" t="str">
        <f>'Приложение 3'!C310</f>
        <v>1003</v>
      </c>
      <c r="C307" s="64" t="str">
        <f>'Приложение 3'!D310</f>
        <v>99</v>
      </c>
      <c r="D307" s="64">
        <f>'Приложение 3'!E310</f>
        <v>0</v>
      </c>
      <c r="E307" s="64">
        <f>'Приложение 3'!F310</f>
        <v>300</v>
      </c>
      <c r="F307" s="51">
        <f>'Приложение 3'!G310</f>
        <v>8168.625</v>
      </c>
      <c r="G307" s="51">
        <f>'Приложение 3'!H310</f>
        <v>3379.02406</v>
      </c>
      <c r="H307" s="88">
        <f t="shared" si="4"/>
        <v>41.365885445836966</v>
      </c>
    </row>
    <row r="308" spans="1:8" ht="24.75" customHeight="1" outlineLevel="3">
      <c r="A308" s="39" t="str">
        <f>'Приложение 3'!A311</f>
        <v>Закупка товаров, работ и услуг для государственных (муниципальных) нужд</v>
      </c>
      <c r="B308" s="64" t="str">
        <f>'Приложение 3'!C311</f>
        <v>1003</v>
      </c>
      <c r="C308" s="64" t="str">
        <f>'Приложение 3'!D311</f>
        <v>99</v>
      </c>
      <c r="D308" s="64">
        <f>'Приложение 3'!E311</f>
        <v>0</v>
      </c>
      <c r="E308" s="64">
        <f>'Приложение 3'!F311</f>
        <v>200</v>
      </c>
      <c r="F308" s="51">
        <f>'Приложение 3'!G311</f>
        <v>98.024</v>
      </c>
      <c r="G308" s="51">
        <f>'Приложение 3'!H311</f>
        <v>0</v>
      </c>
      <c r="H308" s="88">
        <f t="shared" si="4"/>
        <v>0</v>
      </c>
    </row>
    <row r="309" spans="1:8" ht="73.5" customHeight="1">
      <c r="A309" s="39" t="str">
        <f>'Приложение 3'!A312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309" s="64" t="str">
        <f>'Приложение 3'!C312</f>
        <v>1003</v>
      </c>
      <c r="C309" s="64" t="str">
        <f>'Приложение 3'!D312</f>
        <v>99</v>
      </c>
      <c r="D309" s="64">
        <f>'Приложение 3'!E312</f>
        <v>0</v>
      </c>
      <c r="E309" s="64">
        <f>'Приложение 3'!F312</f>
        <v>300</v>
      </c>
      <c r="F309" s="51">
        <f>'Приложение 3'!G312</f>
        <v>929.8</v>
      </c>
      <c r="G309" s="51">
        <f>'Приложение 3'!H312</f>
        <v>40.37852</v>
      </c>
      <c r="H309" s="88">
        <f t="shared" si="4"/>
        <v>4.342710260271026</v>
      </c>
    </row>
    <row r="310" spans="1:8" ht="72" outlineLevel="1">
      <c r="A310" s="39" t="str">
        <f>'Приложение 3'!A313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310" s="64" t="str">
        <f>'Приложение 3'!C313</f>
        <v>1003</v>
      </c>
      <c r="C310" s="64" t="str">
        <f>'Приложение 3'!D313</f>
        <v>99</v>
      </c>
      <c r="D310" s="64">
        <f>'Приложение 3'!E313</f>
        <v>0</v>
      </c>
      <c r="E310" s="64">
        <f>'Приложение 3'!F313</f>
        <v>300</v>
      </c>
      <c r="F310" s="51">
        <f>'Приложение 3'!G313</f>
        <v>22.7</v>
      </c>
      <c r="G310" s="51">
        <f>'Приложение 3'!H313</f>
        <v>0</v>
      </c>
      <c r="H310" s="88">
        <f t="shared" si="4"/>
        <v>0</v>
      </c>
    </row>
    <row r="311" spans="1:8" ht="90" customHeight="1" outlineLevel="1">
      <c r="A311" s="39" t="str">
        <f>'Приложение 3'!A314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311" s="64" t="str">
        <f>'Приложение 3'!C314</f>
        <v>1003</v>
      </c>
      <c r="C311" s="64" t="str">
        <f>'Приложение 3'!D314</f>
        <v>99</v>
      </c>
      <c r="D311" s="64">
        <f>'Приложение 3'!E314</f>
        <v>0</v>
      </c>
      <c r="E311" s="64">
        <f>'Приложение 3'!F314</f>
        <v>300</v>
      </c>
      <c r="F311" s="51">
        <f>'Приложение 3'!G314</f>
        <v>2865.6</v>
      </c>
      <c r="G311" s="51">
        <f>'Приложение 3'!H314</f>
        <v>96.35</v>
      </c>
      <c r="H311" s="88">
        <f t="shared" si="4"/>
        <v>3.362297599106644</v>
      </c>
    </row>
    <row r="312" spans="1:8" ht="12.75" outlineLevel="1">
      <c r="A312" s="39" t="str">
        <f>'Приложение 3'!A315</f>
        <v>Охрана семьи и детства</v>
      </c>
      <c r="B312" s="64" t="str">
        <f>'Приложение 3'!C315</f>
        <v>1004</v>
      </c>
      <c r="C312" s="64"/>
      <c r="D312" s="64"/>
      <c r="E312" s="64"/>
      <c r="F312" s="51">
        <f>'Приложение 3'!G315</f>
        <v>9338.396</v>
      </c>
      <c r="G312" s="51">
        <f>'Приложение 3'!H315</f>
        <v>1851.1524000000002</v>
      </c>
      <c r="H312" s="88">
        <f t="shared" si="4"/>
        <v>19.8230231401624</v>
      </c>
    </row>
    <row r="313" spans="1:8" ht="36" outlineLevel="1">
      <c r="A313" s="39" t="str">
        <f>'Приложение 3'!A316</f>
        <v>Муниципальная программа "Молодой семье – доступное жилье на территории Алексеевского муниципального района на 2022-2024 годы"</v>
      </c>
      <c r="B313" s="64" t="str">
        <f>'Приложение 3'!C316</f>
        <v>1004</v>
      </c>
      <c r="C313" s="64" t="str">
        <f>'Приложение 3'!D316</f>
        <v>11</v>
      </c>
      <c r="D313" s="64">
        <f>'Приложение 3'!E316</f>
        <v>0</v>
      </c>
      <c r="E313" s="64"/>
      <c r="F313" s="51">
        <f>'Приложение 3'!G316</f>
        <v>378</v>
      </c>
      <c r="G313" s="51">
        <f>'Приложение 3'!H316</f>
        <v>378</v>
      </c>
      <c r="H313" s="88">
        <f t="shared" si="4"/>
        <v>100</v>
      </c>
    </row>
    <row r="314" spans="1:8" ht="12.75" outlineLevel="5">
      <c r="A314" s="39" t="str">
        <f>'Приложение 3'!A317</f>
        <v>Социальное обеспечение и иные выплаты населению</v>
      </c>
      <c r="B314" s="64" t="str">
        <f>'Приложение 3'!C317</f>
        <v>1004</v>
      </c>
      <c r="C314" s="64" t="str">
        <f>'Приложение 3'!D317</f>
        <v>11</v>
      </c>
      <c r="D314" s="64">
        <f>'Приложение 3'!E317</f>
        <v>0</v>
      </c>
      <c r="E314" s="64">
        <f>'Приложение 3'!F317</f>
        <v>300</v>
      </c>
      <c r="F314" s="51">
        <f>'Приложение 3'!G317</f>
        <v>378</v>
      </c>
      <c r="G314" s="51">
        <f>'Приложение 3'!H317</f>
        <v>378</v>
      </c>
      <c r="H314" s="88">
        <f t="shared" si="4"/>
        <v>100</v>
      </c>
    </row>
    <row r="315" spans="1:8" ht="16.5" customHeight="1" outlineLevel="5">
      <c r="A315" s="39" t="str">
        <f>'Приложение 3'!A318</f>
        <v>Непрограммные расходы органов местного самоуправления Алексеевского муниципального района</v>
      </c>
      <c r="B315" s="64" t="str">
        <f>'Приложение 3'!C318</f>
        <v>1004</v>
      </c>
      <c r="C315" s="64" t="str">
        <f>'Приложение 3'!D318</f>
        <v>99</v>
      </c>
      <c r="D315" s="64">
        <f>'Приложение 3'!E318</f>
        <v>0</v>
      </c>
      <c r="E315" s="64"/>
      <c r="F315" s="51">
        <f>'Приложение 3'!G318</f>
        <v>8960.396</v>
      </c>
      <c r="G315" s="51">
        <f>'Приложение 3'!H318</f>
        <v>1473.1524000000002</v>
      </c>
      <c r="H315" s="88">
        <f t="shared" si="4"/>
        <v>16.440706415207544</v>
      </c>
    </row>
    <row r="316" spans="1:8" ht="27" customHeight="1" outlineLevel="2">
      <c r="A316" s="39" t="str">
        <f>'Приложение 3'!A319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316" s="64" t="str">
        <f>'Приложение 3'!C319</f>
        <v>1004</v>
      </c>
      <c r="C316" s="64" t="str">
        <f>'Приложение 3'!D319</f>
        <v>99</v>
      </c>
      <c r="D316" s="64">
        <f>'Приложение 3'!E319</f>
        <v>0</v>
      </c>
      <c r="E316" s="64"/>
      <c r="F316" s="51">
        <f>'Приложение 3'!G319</f>
        <v>841.2</v>
      </c>
      <c r="G316" s="51">
        <f>'Приложение 3'!H319</f>
        <v>24.7524</v>
      </c>
      <c r="H316" s="88">
        <f t="shared" si="4"/>
        <v>2.9425106990014265</v>
      </c>
    </row>
    <row r="317" spans="1:8" ht="14.25" customHeight="1" outlineLevel="3">
      <c r="A317" s="39" t="str">
        <f>'Приложение 3'!A320</f>
        <v>Социальное обеспечение и иные выплаты населению</v>
      </c>
      <c r="B317" s="64" t="str">
        <f>'Приложение 3'!C320</f>
        <v>1004</v>
      </c>
      <c r="C317" s="64" t="str">
        <f>'Приложение 3'!D320</f>
        <v>99</v>
      </c>
      <c r="D317" s="64">
        <f>'Приложение 3'!E320</f>
        <v>0</v>
      </c>
      <c r="E317" s="64">
        <f>'Приложение 3'!F320</f>
        <v>300</v>
      </c>
      <c r="F317" s="51">
        <f>'Приложение 3'!G320</f>
        <v>831.225</v>
      </c>
      <c r="G317" s="51">
        <f>'Приложение 3'!H320</f>
        <v>24.7524</v>
      </c>
      <c r="H317" s="88">
        <f t="shared" si="4"/>
        <v>2.977821889380132</v>
      </c>
    </row>
    <row r="318" spans="1:8" ht="24" outlineLevel="2">
      <c r="A318" s="39" t="str">
        <f>'Приложение 3'!A321</f>
        <v>Закупка товаров, работ и услуг для государственных (муниципальных) нужд</v>
      </c>
      <c r="B318" s="64" t="str">
        <f>'Приложение 3'!C321</f>
        <v>1004</v>
      </c>
      <c r="C318" s="64" t="str">
        <f>'Приложение 3'!D321</f>
        <v>99</v>
      </c>
      <c r="D318" s="64">
        <f>'Приложение 3'!E321</f>
        <v>0</v>
      </c>
      <c r="E318" s="64">
        <f>'Приложение 3'!F321</f>
        <v>200</v>
      </c>
      <c r="F318" s="51">
        <f>'Приложение 3'!G321</f>
        <v>9.975</v>
      </c>
      <c r="G318" s="51">
        <f>'Приложение 3'!H321</f>
        <v>0</v>
      </c>
      <c r="H318" s="88">
        <f t="shared" si="4"/>
        <v>0</v>
      </c>
    </row>
    <row r="319" spans="1:8" ht="75.75" customHeight="1" outlineLevel="3">
      <c r="A319" s="39" t="str">
        <f>'Приложение 3'!A322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19" s="64" t="str">
        <f>'Приложение 3'!C322</f>
        <v>1004</v>
      </c>
      <c r="C319" s="64" t="str">
        <f>'Приложение 3'!D322</f>
        <v>99</v>
      </c>
      <c r="D319" s="64">
        <f>'Приложение 3'!E322</f>
        <v>0</v>
      </c>
      <c r="E319" s="64"/>
      <c r="F319" s="51">
        <f>'Приложение 3'!G322</f>
        <v>8118.299999999999</v>
      </c>
      <c r="G319" s="51">
        <f>'Приложение 3'!H322</f>
        <v>1448.4</v>
      </c>
      <c r="H319" s="88">
        <f t="shared" si="4"/>
        <v>17.841173644728578</v>
      </c>
    </row>
    <row r="320" spans="1:8" ht="15" customHeight="1" outlineLevel="3">
      <c r="A320" s="39" t="str">
        <f>'Приложение 3'!A323</f>
        <v>на выплату пособий по опеке и попечительству</v>
      </c>
      <c r="B320" s="64" t="str">
        <f>'Приложение 3'!C323</f>
        <v>1004</v>
      </c>
      <c r="C320" s="64" t="str">
        <f>'Приложение 3'!D323</f>
        <v>99</v>
      </c>
      <c r="D320" s="64">
        <f>'Приложение 3'!E323</f>
        <v>0</v>
      </c>
      <c r="E320" s="64">
        <f>'Приложение 3'!F323</f>
        <v>300</v>
      </c>
      <c r="F320" s="51">
        <f>'Приложение 3'!G323</f>
        <v>6060.4</v>
      </c>
      <c r="G320" s="51">
        <f>'Приложение 3'!H323</f>
        <v>1129.4</v>
      </c>
      <c r="H320" s="88">
        <f t="shared" si="4"/>
        <v>18.63573361494291</v>
      </c>
    </row>
    <row r="321" spans="1:8" ht="27" customHeight="1" outlineLevel="3">
      <c r="A321" s="39" t="str">
        <f>'Приложение 3'!A324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21" s="64" t="str">
        <f>'Приложение 3'!C324</f>
        <v>1004</v>
      </c>
      <c r="C321" s="64" t="str">
        <f>'Приложение 3'!D324</f>
        <v>99</v>
      </c>
      <c r="D321" s="64">
        <f>'Приложение 3'!E324</f>
        <v>0</v>
      </c>
      <c r="E321" s="64">
        <f>'Приложение 3'!F324</f>
        <v>300</v>
      </c>
      <c r="F321" s="51">
        <f>'Приложение 3'!G324</f>
        <v>2057.9</v>
      </c>
      <c r="G321" s="51">
        <f>'Приложение 3'!H324</f>
        <v>319</v>
      </c>
      <c r="H321" s="88">
        <f t="shared" si="4"/>
        <v>15.50123912726566</v>
      </c>
    </row>
    <row r="322" spans="1:8" ht="50.25" customHeight="1" outlineLevel="3">
      <c r="A322" s="39" t="str">
        <f>'Приложение 3'!A325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22" s="64" t="str">
        <f>'Приложение 3'!C325</f>
        <v>1004</v>
      </c>
      <c r="C322" s="64" t="str">
        <f>'Приложение 3'!D325</f>
        <v>99</v>
      </c>
      <c r="D322" s="64">
        <f>'Приложение 3'!E325</f>
        <v>0</v>
      </c>
      <c r="E322" s="64"/>
      <c r="F322" s="51">
        <f>'Приложение 3'!G325</f>
        <v>0.8959999999999773</v>
      </c>
      <c r="G322" s="51">
        <f>'Приложение 3'!H325</f>
        <v>0</v>
      </c>
      <c r="H322" s="88">
        <f t="shared" si="4"/>
        <v>0</v>
      </c>
    </row>
    <row r="323" spans="1:8" ht="27" customHeight="1" outlineLevel="3">
      <c r="A323" s="39" t="str">
        <f>'Приложение 3'!A326</f>
        <v>Закупка товаров, работ и услуг для государственных (муниципальных) нужд</v>
      </c>
      <c r="B323" s="64" t="str">
        <f>'Приложение 3'!C326</f>
        <v>1004</v>
      </c>
      <c r="C323" s="64" t="str">
        <f>'Приложение 3'!D326</f>
        <v>99</v>
      </c>
      <c r="D323" s="64">
        <f>'Приложение 3'!E326</f>
        <v>0</v>
      </c>
      <c r="E323" s="64">
        <f>'Приложение 3'!F326</f>
        <v>200</v>
      </c>
      <c r="F323" s="51">
        <f>'Приложение 3'!G326</f>
        <v>0.8959999999999773</v>
      </c>
      <c r="G323" s="51">
        <f>'Приложение 3'!H326</f>
        <v>0</v>
      </c>
      <c r="H323" s="88">
        <f t="shared" si="4"/>
        <v>0</v>
      </c>
    </row>
    <row r="324" spans="1:8" ht="19.5" customHeight="1" outlineLevel="3">
      <c r="A324" s="39" t="str">
        <f>'Приложение 3'!A327</f>
        <v>Другие вопросы в области социальной политики</v>
      </c>
      <c r="B324" s="64" t="str">
        <f>'Приложение 3'!C327</f>
        <v>1006</v>
      </c>
      <c r="C324" s="64">
        <f>'Приложение 3'!D327</f>
        <v>0</v>
      </c>
      <c r="D324" s="64">
        <f>'Приложение 3'!E327</f>
        <v>0</v>
      </c>
      <c r="E324" s="64">
        <f>'Приложение 3'!F327</f>
        <v>0</v>
      </c>
      <c r="F324" s="51">
        <f>'Приложение 3'!G327</f>
        <v>942.0509999999999</v>
      </c>
      <c r="G324" s="51">
        <f>'Приложение 3'!H327</f>
        <v>186.29156</v>
      </c>
      <c r="H324" s="88">
        <f t="shared" si="4"/>
        <v>19.7751034710435</v>
      </c>
    </row>
    <row r="325" spans="1:8" ht="24" customHeight="1" outlineLevel="3">
      <c r="A325" s="39" t="str">
        <f>'Приложение 3'!A328</f>
        <v>Непрограммные расходы органов местного самоуправления Алексеевского муниципального района</v>
      </c>
      <c r="B325" s="64" t="str">
        <f>'Приложение 3'!C328</f>
        <v>1006</v>
      </c>
      <c r="C325" s="64" t="str">
        <f>'Приложение 3'!D328</f>
        <v>99</v>
      </c>
      <c r="D325" s="64">
        <f>'Приложение 3'!E328</f>
        <v>0</v>
      </c>
      <c r="E325" s="64">
        <f>'Приложение 3'!F328</f>
        <v>0</v>
      </c>
      <c r="F325" s="51">
        <f>'Приложение 3'!G328</f>
        <v>942.0509999999999</v>
      </c>
      <c r="G325" s="51">
        <f>'Приложение 3'!H328</f>
        <v>186.29156</v>
      </c>
      <c r="H325" s="88">
        <f t="shared" si="4"/>
        <v>19.7751034710435</v>
      </c>
    </row>
    <row r="326" spans="1:8" ht="52.5" customHeight="1" outlineLevel="3">
      <c r="A326" s="39" t="str">
        <f>'Приложение 3'!A329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26" s="64" t="str">
        <f>'Приложение 3'!C329</f>
        <v>1006</v>
      </c>
      <c r="C326" s="64" t="str">
        <f>'Приложение 3'!D329</f>
        <v>99</v>
      </c>
      <c r="D326" s="64">
        <f>'Приложение 3'!E329</f>
        <v>0</v>
      </c>
      <c r="E326" s="64">
        <f>'Приложение 3'!F329</f>
        <v>0</v>
      </c>
      <c r="F326" s="51">
        <f>'Приложение 3'!G329</f>
        <v>942.0509999999999</v>
      </c>
      <c r="G326" s="51">
        <f>'Приложение 3'!H329</f>
        <v>186.29156</v>
      </c>
      <c r="H326" s="88">
        <f t="shared" si="4"/>
        <v>19.7751034710435</v>
      </c>
    </row>
    <row r="327" spans="1:8" ht="25.5" customHeight="1" outlineLevel="2">
      <c r="A327" s="39" t="str">
        <f>'Приложение 3'!A330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7" s="64" t="str">
        <f>'Приложение 3'!C330</f>
        <v>1006</v>
      </c>
      <c r="C327" s="64" t="str">
        <f>'Приложение 3'!D330</f>
        <v>99</v>
      </c>
      <c r="D327" s="64">
        <f>'Приложение 3'!E330</f>
        <v>0</v>
      </c>
      <c r="E327" s="64">
        <f>'Приложение 3'!F330</f>
        <v>100</v>
      </c>
      <c r="F327" s="51">
        <f>'Приложение 3'!G330</f>
        <v>849.5509999999999</v>
      </c>
      <c r="G327" s="51">
        <f>'Приложение 3'!H330</f>
        <v>154.61966</v>
      </c>
      <c r="H327" s="88">
        <f t="shared" si="4"/>
        <v>18.200162203328585</v>
      </c>
    </row>
    <row r="328" spans="1:8" ht="15.75" customHeight="1" outlineLevel="2">
      <c r="A328" s="39" t="str">
        <f>'Приложение 3'!A331</f>
        <v>Закупка товаров, работ и услуг для государственных (муниципальных) нужд</v>
      </c>
      <c r="B328" s="64" t="str">
        <f>'Приложение 3'!C331</f>
        <v>1006</v>
      </c>
      <c r="C328" s="64" t="str">
        <f>'Приложение 3'!D331</f>
        <v>99</v>
      </c>
      <c r="D328" s="64">
        <f>'Приложение 3'!E331</f>
        <v>0</v>
      </c>
      <c r="E328" s="64">
        <f>'Приложение 3'!F331</f>
        <v>200</v>
      </c>
      <c r="F328" s="51">
        <f>'Приложение 3'!G331</f>
        <v>92.5</v>
      </c>
      <c r="G328" s="51">
        <f>'Приложение 3'!H331</f>
        <v>31.6719</v>
      </c>
      <c r="H328" s="88">
        <f t="shared" si="4"/>
        <v>34.239891891891894</v>
      </c>
    </row>
    <row r="329" spans="1:8" ht="15.75" customHeight="1" outlineLevel="2">
      <c r="A329" s="39" t="str">
        <f>'Приложение 3'!A332</f>
        <v>Физическая культура и спорт</v>
      </c>
      <c r="B329" s="64" t="str">
        <f>'Приложение 3'!C332</f>
        <v>1100</v>
      </c>
      <c r="C329" s="64"/>
      <c r="D329" s="64"/>
      <c r="E329" s="64"/>
      <c r="F329" s="51">
        <f>'Приложение 3'!G332</f>
        <v>400</v>
      </c>
      <c r="G329" s="51">
        <f>'Приложение 3'!H332</f>
        <v>56.15</v>
      </c>
      <c r="H329" s="88">
        <f t="shared" si="4"/>
        <v>14.0375</v>
      </c>
    </row>
    <row r="330" spans="1:8" ht="15.75" customHeight="1" hidden="1" outlineLevel="2">
      <c r="A330" s="39" t="str">
        <f>'Приложение 3'!A333</f>
        <v>Физическая культура </v>
      </c>
      <c r="B330" s="64" t="str">
        <f>'Приложение 3'!C333</f>
        <v>1101</v>
      </c>
      <c r="C330" s="64"/>
      <c r="D330" s="64"/>
      <c r="E330" s="64"/>
      <c r="F330" s="51">
        <f>'Приложение 3'!G333</f>
        <v>0</v>
      </c>
      <c r="G330" s="51">
        <f>'Приложение 3'!H333</f>
        <v>0</v>
      </c>
      <c r="H330" s="88" t="e">
        <f aca="true" t="shared" si="5" ref="H330:H354">SUM(G330/F330)*100</f>
        <v>#DIV/0!</v>
      </c>
    </row>
    <row r="331" spans="1:8" ht="26.25" customHeight="1" hidden="1" outlineLevel="2">
      <c r="A331" s="39" t="str">
        <f>'Приложение 3'!A334</f>
        <v>Муниципальная программа "Комплексное развитие сельских территорий"</v>
      </c>
      <c r="B331" s="64" t="str">
        <f>'Приложение 3'!C334</f>
        <v>1101</v>
      </c>
      <c r="C331" s="64" t="str">
        <f>'Приложение 3'!D334</f>
        <v>03</v>
      </c>
      <c r="D331" s="64">
        <f>'Приложение 3'!E334</f>
        <v>0</v>
      </c>
      <c r="E331" s="64"/>
      <c r="F331" s="51">
        <f>'Приложение 3'!G334</f>
        <v>0</v>
      </c>
      <c r="G331" s="51">
        <f>'Приложение 3'!H334</f>
        <v>0</v>
      </c>
      <c r="H331" s="88" t="e">
        <f t="shared" si="5"/>
        <v>#DIV/0!</v>
      </c>
    </row>
    <row r="332" spans="1:8" ht="15.75" customHeight="1" hidden="1" outlineLevel="2">
      <c r="A332" s="39" t="str">
        <f>'Приложение 3'!A335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32" s="64" t="str">
        <f>'Приложение 3'!C335</f>
        <v>1101</v>
      </c>
      <c r="C332" s="64" t="str">
        <f>'Приложение 3'!D335</f>
        <v>03</v>
      </c>
      <c r="D332" s="64">
        <f>'Приложение 3'!E335</f>
        <v>0</v>
      </c>
      <c r="E332" s="64">
        <f>'Приложение 3'!F335</f>
        <v>400</v>
      </c>
      <c r="F332" s="51">
        <f>'Приложение 3'!G335</f>
        <v>0</v>
      </c>
      <c r="G332" s="51">
        <f>'Приложение 3'!H335</f>
        <v>0</v>
      </c>
      <c r="H332" s="88" t="e">
        <f t="shared" si="5"/>
        <v>#DIV/0!</v>
      </c>
    </row>
    <row r="333" spans="1:8" ht="15.75" customHeight="1" hidden="1" outlineLevel="2">
      <c r="A333" s="39" t="str">
        <f>'Приложение 3'!A336</f>
        <v>Капитальные вложения в объекты государственной (муниципальной) собственности (софинансирование)</v>
      </c>
      <c r="B333" s="64" t="str">
        <f>'Приложение 3'!C336</f>
        <v>1101</v>
      </c>
      <c r="C333" s="64" t="str">
        <f>'Приложение 3'!D336</f>
        <v>03</v>
      </c>
      <c r="D333" s="64">
        <f>'Приложение 3'!E336</f>
        <v>0</v>
      </c>
      <c r="E333" s="64">
        <f>'Приложение 3'!F336</f>
        <v>400</v>
      </c>
      <c r="F333" s="51">
        <f>'Приложение 3'!G336</f>
        <v>0</v>
      </c>
      <c r="G333" s="51">
        <f>'Приложение 3'!H336</f>
        <v>0</v>
      </c>
      <c r="H333" s="88" t="e">
        <f t="shared" si="5"/>
        <v>#DIV/0!</v>
      </c>
    </row>
    <row r="334" spans="1:8" ht="12.75" hidden="1" outlineLevel="2">
      <c r="A334" s="39" t="str">
        <f>'Приложение 3'!A337</f>
        <v>Массовый спорт</v>
      </c>
      <c r="B334" s="64" t="str">
        <f>'Приложение 3'!C337</f>
        <v>1102</v>
      </c>
      <c r="C334" s="64"/>
      <c r="D334" s="64"/>
      <c r="E334" s="64"/>
      <c r="F334" s="51">
        <f>'Приложение 3'!G337</f>
        <v>0</v>
      </c>
      <c r="G334" s="51">
        <f>'Приложение 3'!H337</f>
        <v>0</v>
      </c>
      <c r="H334" s="88" t="e">
        <f t="shared" si="5"/>
        <v>#DIV/0!</v>
      </c>
    </row>
    <row r="335" spans="1:8" ht="36" hidden="1" outlineLevel="2">
      <c r="A335" s="39" t="str">
        <f>'Приложение 3'!A338</f>
        <v>Муниципальная программа "Развитие физической культуры и спорта в Алексеевском муниципальном районе на 2019-2023 годы"</v>
      </c>
      <c r="B335" s="64" t="str">
        <f>'Приложение 3'!C338</f>
        <v>1102</v>
      </c>
      <c r="C335" s="64" t="str">
        <f>'Приложение 3'!D338</f>
        <v>17</v>
      </c>
      <c r="D335" s="64">
        <f>'Приложение 3'!E338</f>
        <v>0</v>
      </c>
      <c r="E335" s="64"/>
      <c r="F335" s="51">
        <f>'Приложение 3'!G338</f>
        <v>0</v>
      </c>
      <c r="G335" s="51">
        <f>'Приложение 3'!H338</f>
        <v>0</v>
      </c>
      <c r="H335" s="88" t="e">
        <f t="shared" si="5"/>
        <v>#DIV/0!</v>
      </c>
    </row>
    <row r="336" spans="1:8" ht="36" hidden="1" outlineLevel="2">
      <c r="A336" s="39" t="str">
        <f>'Приложение 3'!A339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36" s="64" t="str">
        <f>'Приложение 3'!C339</f>
        <v>1102</v>
      </c>
      <c r="C336" s="64" t="str">
        <f>'Приложение 3'!D339</f>
        <v>17</v>
      </c>
      <c r="D336" s="64">
        <f>'Приложение 3'!E339</f>
        <v>0</v>
      </c>
      <c r="E336" s="64">
        <f>'Приложение 3'!F339</f>
        <v>400</v>
      </c>
      <c r="F336" s="51">
        <f>'Приложение 3'!G339</f>
        <v>0</v>
      </c>
      <c r="G336" s="51">
        <f>'Приложение 3'!H339</f>
        <v>0</v>
      </c>
      <c r="H336" s="88" t="e">
        <f t="shared" si="5"/>
        <v>#DIV/0!</v>
      </c>
    </row>
    <row r="337" spans="1:8" ht="24" hidden="1" outlineLevel="3">
      <c r="A337" s="39" t="str">
        <f>'Приложение 3'!A340</f>
        <v>Капитальные вложения в объекты государственной (муниципальной) собственности</v>
      </c>
      <c r="B337" s="64" t="str">
        <f>'Приложение 3'!C340</f>
        <v>1102</v>
      </c>
      <c r="C337" s="64" t="str">
        <f>'Приложение 3'!D340</f>
        <v>17</v>
      </c>
      <c r="D337" s="64">
        <f>'Приложение 3'!E340</f>
        <v>0</v>
      </c>
      <c r="E337" s="64">
        <f>'Приложение 3'!F340</f>
        <v>400</v>
      </c>
      <c r="F337" s="51">
        <f>'Приложение 3'!G340</f>
        <v>0</v>
      </c>
      <c r="G337" s="51">
        <f>'Приложение 3'!H340</f>
        <v>0</v>
      </c>
      <c r="H337" s="88" t="e">
        <f t="shared" si="5"/>
        <v>#DIV/0!</v>
      </c>
    </row>
    <row r="338" spans="1:8" ht="19.5" customHeight="1" outlineLevel="3">
      <c r="A338" s="39" t="str">
        <f>'Приложение 3'!A341</f>
        <v>Другие вопросы в области физической культуры и спорта</v>
      </c>
      <c r="B338" s="64" t="str">
        <f>'Приложение 3'!C341</f>
        <v>1105</v>
      </c>
      <c r="C338" s="64"/>
      <c r="D338" s="64"/>
      <c r="E338" s="64"/>
      <c r="F338" s="51">
        <f>'Приложение 3'!G341</f>
        <v>400</v>
      </c>
      <c r="G338" s="51">
        <f>'Приложение 3'!H341</f>
        <v>56.15</v>
      </c>
      <c r="H338" s="88">
        <f t="shared" si="5"/>
        <v>14.0375</v>
      </c>
    </row>
    <row r="339" spans="1:8" ht="27" customHeight="1" outlineLevel="3">
      <c r="A339" s="39" t="str">
        <f>'Приложение 3'!A342</f>
        <v>Муниципальная программа "Развитие физической культуры и спорта в Алексеевском муниципальном районе на 2024-2026 годы"</v>
      </c>
      <c r="B339" s="64" t="str">
        <f>'Приложение 3'!C342</f>
        <v>1105</v>
      </c>
      <c r="C339" s="64" t="str">
        <f>'Приложение 3'!D342</f>
        <v>17</v>
      </c>
      <c r="D339" s="64">
        <f>'Приложение 3'!E342</f>
        <v>0</v>
      </c>
      <c r="E339" s="64"/>
      <c r="F339" s="51">
        <f>'Приложение 3'!G342</f>
        <v>400</v>
      </c>
      <c r="G339" s="51">
        <f>'Приложение 3'!H342</f>
        <v>56.15</v>
      </c>
      <c r="H339" s="88">
        <f t="shared" si="5"/>
        <v>14.0375</v>
      </c>
    </row>
    <row r="340" spans="1:8" ht="13.5" customHeight="1" outlineLevel="3">
      <c r="A340" s="39" t="str">
        <f>'Приложение 3'!A343</f>
        <v>Закупка товаров, работ и услуг для государственных (муниципальных) нужд</v>
      </c>
      <c r="B340" s="64" t="str">
        <f>'Приложение 3'!C343</f>
        <v>1105</v>
      </c>
      <c r="C340" s="64" t="str">
        <f>'Приложение 3'!D343</f>
        <v>17</v>
      </c>
      <c r="D340" s="64">
        <f>'Приложение 3'!E343</f>
        <v>0</v>
      </c>
      <c r="E340" s="64">
        <f>'Приложение 3'!F343</f>
        <v>200</v>
      </c>
      <c r="F340" s="51">
        <f>'Приложение 3'!G343</f>
        <v>400</v>
      </c>
      <c r="G340" s="51">
        <f>'Приложение 3'!H343</f>
        <v>56.15</v>
      </c>
      <c r="H340" s="88">
        <f t="shared" si="5"/>
        <v>14.0375</v>
      </c>
    </row>
    <row r="341" spans="1:8" ht="12.75" outlineLevel="1">
      <c r="A341" s="39" t="str">
        <f>'Приложение 3'!A344</f>
        <v>Средства массовой информации </v>
      </c>
      <c r="B341" s="64" t="str">
        <f>'Приложение 3'!C344</f>
        <v>1200</v>
      </c>
      <c r="C341" s="64"/>
      <c r="D341" s="64"/>
      <c r="E341" s="64"/>
      <c r="F341" s="51">
        <f>'Приложение 3'!G344</f>
        <v>2163.6</v>
      </c>
      <c r="G341" s="51">
        <f>'Приложение 3'!H344</f>
        <v>300</v>
      </c>
      <c r="H341" s="88">
        <f t="shared" si="5"/>
        <v>13.865779256794234</v>
      </c>
    </row>
    <row r="342" spans="1:8" ht="16.5" customHeight="1" outlineLevel="2">
      <c r="A342" s="39" t="str">
        <f>'Приложение 3'!A345</f>
        <v>Периодическая печать и издательства</v>
      </c>
      <c r="B342" s="64" t="str">
        <f>'Приложение 3'!C345</f>
        <v>1202</v>
      </c>
      <c r="C342" s="64"/>
      <c r="D342" s="64"/>
      <c r="E342" s="64"/>
      <c r="F342" s="51">
        <f>'Приложение 3'!G345</f>
        <v>2163.6</v>
      </c>
      <c r="G342" s="51">
        <f>'Приложение 3'!H345</f>
        <v>300</v>
      </c>
      <c r="H342" s="88">
        <f t="shared" si="5"/>
        <v>13.865779256794234</v>
      </c>
    </row>
    <row r="343" spans="1:8" ht="36" outlineLevel="2">
      <c r="A343" s="39" t="str">
        <f>'Приложение 3'!A346</f>
        <v>Муниципальная программа "Поддержка средств массовой информации в Алексеевском муниципальном районе на 2024-2026 годы"</v>
      </c>
      <c r="B343" s="64" t="str">
        <f>'Приложение 3'!C346</f>
        <v>1202</v>
      </c>
      <c r="C343" s="64" t="str">
        <f>'Приложение 3'!D346</f>
        <v>61</v>
      </c>
      <c r="D343" s="64">
        <f>'Приложение 3'!E346</f>
        <v>0</v>
      </c>
      <c r="E343" s="64"/>
      <c r="F343" s="51">
        <f>'Приложение 3'!G346</f>
        <v>2163.6</v>
      </c>
      <c r="G343" s="51">
        <f>'Приложение 3'!H346</f>
        <v>300</v>
      </c>
      <c r="H343" s="88">
        <f t="shared" si="5"/>
        <v>13.865779256794234</v>
      </c>
    </row>
    <row r="344" spans="1:8" ht="24" outlineLevel="5">
      <c r="A344" s="39" t="str">
        <f>'Приложение 3'!A347</f>
        <v>Предоставление субсидий бюджетным, автономным учреждениям и иным некоммерческим организациям</v>
      </c>
      <c r="B344" s="64" t="str">
        <f>'Приложение 3'!C347</f>
        <v>1202</v>
      </c>
      <c r="C344" s="64" t="str">
        <f>'Приложение 3'!D347</f>
        <v>61</v>
      </c>
      <c r="D344" s="64">
        <f>'Приложение 3'!E347</f>
        <v>0</v>
      </c>
      <c r="E344" s="64">
        <f>'Приложение 3'!F347</f>
        <v>600</v>
      </c>
      <c r="F344" s="51">
        <f>'Приложение 3'!G347</f>
        <v>1200</v>
      </c>
      <c r="G344" s="51">
        <f>'Приложение 3'!H347</f>
        <v>300</v>
      </c>
      <c r="H344" s="88">
        <f t="shared" si="5"/>
        <v>25</v>
      </c>
    </row>
    <row r="345" spans="1:8" ht="96" outlineLevel="5">
      <c r="A345" s="39" t="str">
        <f>'Приложение 3'!A348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45" s="64" t="str">
        <f>'Приложение 3'!C348</f>
        <v>1202</v>
      </c>
      <c r="C345" s="64" t="str">
        <f>'Приложение 3'!D348</f>
        <v>61</v>
      </c>
      <c r="D345" s="64">
        <f>'Приложение 3'!E348</f>
        <v>0</v>
      </c>
      <c r="E345" s="64">
        <f>'Приложение 3'!F348</f>
        <v>600</v>
      </c>
      <c r="F345" s="51">
        <f>'Приложение 3'!G348</f>
        <v>963.6</v>
      </c>
      <c r="G345" s="51">
        <f>'Приложение 3'!H348</f>
        <v>0</v>
      </c>
      <c r="H345" s="88">
        <f t="shared" si="5"/>
        <v>0</v>
      </c>
    </row>
    <row r="346" spans="1:8" ht="19.5" customHeight="1" outlineLevel="5">
      <c r="A346" s="39" t="str">
        <f>'Приложение 3'!A349</f>
        <v>Обслуживание государственного (муниципального долга)</v>
      </c>
      <c r="B346" s="64" t="str">
        <f>'Приложение 3'!C349</f>
        <v>1300</v>
      </c>
      <c r="C346" s="64"/>
      <c r="D346" s="64"/>
      <c r="E346" s="64"/>
      <c r="F346" s="51">
        <f>'Приложение 3'!G349</f>
        <v>3276</v>
      </c>
      <c r="G346" s="51">
        <f>'Приложение 3'!H349</f>
        <v>331.24056</v>
      </c>
      <c r="H346" s="88">
        <f t="shared" si="5"/>
        <v>10.111128205128207</v>
      </c>
    </row>
    <row r="347" spans="1:8" ht="28.5" customHeight="1" outlineLevel="5">
      <c r="A347" s="39" t="str">
        <f>'Приложение 3'!A350</f>
        <v>Обслуживание государственного (муниципального) внутреннего долга </v>
      </c>
      <c r="B347" s="64" t="str">
        <f>'Приложение 3'!C350</f>
        <v>1301</v>
      </c>
      <c r="C347" s="64"/>
      <c r="D347" s="64"/>
      <c r="E347" s="64"/>
      <c r="F347" s="51">
        <f>'Приложение 3'!G350</f>
        <v>3276</v>
      </c>
      <c r="G347" s="51">
        <f>'Приложение 3'!H350</f>
        <v>331.24056</v>
      </c>
      <c r="H347" s="88">
        <f t="shared" si="5"/>
        <v>10.111128205128207</v>
      </c>
    </row>
    <row r="348" spans="1:8" ht="24" outlineLevel="5">
      <c r="A348" s="39" t="str">
        <f>'Приложение 3'!A351</f>
        <v>Непрограммные расходы органов местного самоуправления Алексеевского муниципального района</v>
      </c>
      <c r="B348" s="64" t="str">
        <f>'Приложение 3'!C351</f>
        <v>1301</v>
      </c>
      <c r="C348" s="64" t="str">
        <f>'Приложение 3'!D351</f>
        <v>99</v>
      </c>
      <c r="D348" s="64">
        <f>'Приложение 3'!E351</f>
        <v>0</v>
      </c>
      <c r="E348" s="64"/>
      <c r="F348" s="51">
        <f>'Приложение 3'!G351</f>
        <v>3276</v>
      </c>
      <c r="G348" s="51">
        <f>'Приложение 3'!H351</f>
        <v>331.24056</v>
      </c>
      <c r="H348" s="88">
        <f t="shared" si="5"/>
        <v>10.111128205128207</v>
      </c>
    </row>
    <row r="349" spans="1:8" ht="20.25" customHeight="1" outlineLevel="5">
      <c r="A349" s="39" t="str">
        <f>'Приложение 3'!A352</f>
        <v>Обслуживание государственного (муниципального) долга</v>
      </c>
      <c r="B349" s="64" t="str">
        <f>'Приложение 3'!C352</f>
        <v>1301</v>
      </c>
      <c r="C349" s="64" t="str">
        <f>'Приложение 3'!D352</f>
        <v>99</v>
      </c>
      <c r="D349" s="64">
        <f>'Приложение 3'!E352</f>
        <v>0</v>
      </c>
      <c r="E349" s="64">
        <f>'Приложение 3'!F352</f>
        <v>700</v>
      </c>
      <c r="F349" s="51">
        <f>'Приложение 3'!G352</f>
        <v>3276</v>
      </c>
      <c r="G349" s="51">
        <f>'Приложение 3'!H352</f>
        <v>331.24056</v>
      </c>
      <c r="H349" s="88">
        <f t="shared" si="5"/>
        <v>10.111128205128207</v>
      </c>
    </row>
    <row r="350" spans="1:8" ht="30.75" customHeight="1" outlineLevel="5">
      <c r="A350" s="39" t="str">
        <f>'Приложение 3'!A353</f>
        <v>Межбюджетные трансферты общего характера бюджетам бюджетной системы Российской Федерации</v>
      </c>
      <c r="B350" s="64" t="str">
        <f>'Приложение 3'!C353</f>
        <v>1400</v>
      </c>
      <c r="C350" s="64"/>
      <c r="D350" s="64"/>
      <c r="E350" s="64"/>
      <c r="F350" s="51">
        <f>'Приложение 3'!G353</f>
        <v>30095.7467</v>
      </c>
      <c r="G350" s="51">
        <f>'Приложение 3'!H353</f>
        <v>3504.041</v>
      </c>
      <c r="H350" s="88">
        <f t="shared" si="5"/>
        <v>11.642977444384194</v>
      </c>
    </row>
    <row r="351" spans="1:8" ht="18.75" customHeight="1" outlineLevel="5">
      <c r="A351" s="39" t="str">
        <f>'Приложение 3'!A354</f>
        <v>Прочие межбюджетные трансферты общего характера</v>
      </c>
      <c r="B351" s="64" t="str">
        <f>'Приложение 3'!C354</f>
        <v>1403</v>
      </c>
      <c r="C351" s="64"/>
      <c r="D351" s="64"/>
      <c r="E351" s="64"/>
      <c r="F351" s="51">
        <f>'Приложение 3'!G354</f>
        <v>30095.7467</v>
      </c>
      <c r="G351" s="51">
        <f>'Приложение 3'!H354</f>
        <v>3504.041</v>
      </c>
      <c r="H351" s="88">
        <f t="shared" si="5"/>
        <v>11.642977444384194</v>
      </c>
    </row>
    <row r="352" spans="1:8" ht="17.25" customHeight="1" outlineLevel="5">
      <c r="A352" s="39" t="str">
        <f>'Приложение 3'!A355</f>
        <v>Непрограммные расходы органов местного самоуправления Алексеевского муниципального района</v>
      </c>
      <c r="B352" s="64" t="str">
        <f>'Приложение 3'!C355</f>
        <v>1403</v>
      </c>
      <c r="C352" s="64" t="str">
        <f>'Приложение 3'!D355</f>
        <v>99</v>
      </c>
      <c r="D352" s="64">
        <f>'Приложение 3'!E355</f>
        <v>0</v>
      </c>
      <c r="E352" s="64"/>
      <c r="F352" s="51">
        <f>'Приложение 3'!G355</f>
        <v>30095.7467</v>
      </c>
      <c r="G352" s="51">
        <f>'Приложение 3'!H355</f>
        <v>3504.041</v>
      </c>
      <c r="H352" s="88">
        <f t="shared" si="5"/>
        <v>11.642977444384194</v>
      </c>
    </row>
    <row r="353" spans="1:8" ht="12.75">
      <c r="A353" s="39" t="str">
        <f>'Приложение 3'!A356</f>
        <v>Межбюджетные трансферты</v>
      </c>
      <c r="B353" s="64" t="str">
        <f>'Приложение 3'!C356</f>
        <v>1403</v>
      </c>
      <c r="C353" s="64" t="str">
        <f>'Приложение 3'!D356</f>
        <v>99</v>
      </c>
      <c r="D353" s="64">
        <f>'Приложение 3'!E356</f>
        <v>0</v>
      </c>
      <c r="E353" s="64">
        <f>'Приложение 3'!F356</f>
        <v>500</v>
      </c>
      <c r="F353" s="51">
        <f>'Приложение 3'!G356</f>
        <v>30095.7467</v>
      </c>
      <c r="G353" s="51">
        <f>'Приложение 3'!H356</f>
        <v>3504.041</v>
      </c>
      <c r="H353" s="88">
        <f t="shared" si="5"/>
        <v>11.642977444384194</v>
      </c>
    </row>
    <row r="354" spans="1:8" ht="12.75">
      <c r="A354" s="39" t="str">
        <f>'Приложение 3'!A357</f>
        <v>Всего </v>
      </c>
      <c r="B354" s="64"/>
      <c r="C354" s="64"/>
      <c r="D354" s="64"/>
      <c r="E354" s="64"/>
      <c r="F354" s="51">
        <f>'Приложение 3'!G357</f>
        <v>715649.7068800001</v>
      </c>
      <c r="G354" s="51">
        <f>'Приложение 3'!H357</f>
        <v>97886.35964999998</v>
      </c>
      <c r="H354" s="88">
        <f t="shared" si="5"/>
        <v>13.677971039316523</v>
      </c>
    </row>
    <row r="355" spans="1:5" ht="12.75">
      <c r="A355" s="2"/>
      <c r="B355" s="2"/>
      <c r="C355" s="2"/>
      <c r="D355" s="2"/>
      <c r="E355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08"/>
  <sheetViews>
    <sheetView showGridLines="0" view="pageBreakPreview" zoomScaleSheetLayoutView="100" zoomScalePageLayoutView="0" workbookViewId="0" topLeftCell="A1">
      <pane ySplit="8" topLeftCell="BM89" activePane="bottomLeft" state="frozen"/>
      <selection pane="topLeft" activeCell="A1" sqref="A1"/>
      <selection pane="bottomLeft" activeCell="G102" sqref="G102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6.7109375" style="11" customWidth="1"/>
    <col min="5" max="5" width="12.421875" style="2" customWidth="1"/>
    <col min="6" max="6" width="11.57421875" style="2" customWidth="1"/>
    <col min="7" max="7" width="12.140625" style="2" customWidth="1"/>
    <col min="8" max="8" width="15.57421875" style="2" customWidth="1"/>
    <col min="9" max="16384" width="9.140625" style="2" customWidth="1"/>
  </cols>
  <sheetData>
    <row r="1" spans="3:7" ht="18.75" customHeight="1">
      <c r="C1" s="110" t="s">
        <v>193</v>
      </c>
      <c r="D1" s="110"/>
      <c r="E1" s="110"/>
      <c r="F1" s="110"/>
      <c r="G1" s="110"/>
    </row>
    <row r="2" spans="3:7" ht="18.75" customHeight="1">
      <c r="C2" s="110" t="s">
        <v>0</v>
      </c>
      <c r="D2" s="110"/>
      <c r="E2" s="110"/>
      <c r="F2" s="110"/>
      <c r="G2" s="110"/>
    </row>
    <row r="3" spans="3:7" ht="18.75" customHeight="1">
      <c r="C3" s="110" t="s">
        <v>1</v>
      </c>
      <c r="D3" s="110"/>
      <c r="E3" s="110"/>
      <c r="F3" s="110"/>
      <c r="G3" s="110"/>
    </row>
    <row r="4" spans="1:7" ht="21.75" customHeight="1">
      <c r="A4" s="8"/>
      <c r="B4" s="1"/>
      <c r="C4" s="110" t="s">
        <v>27</v>
      </c>
      <c r="D4" s="110"/>
      <c r="E4" s="110"/>
      <c r="F4" s="110"/>
      <c r="G4" s="110"/>
    </row>
    <row r="5" spans="1:7" ht="36.75" customHeight="1">
      <c r="A5" s="115" t="s">
        <v>202</v>
      </c>
      <c r="B5" s="115"/>
      <c r="C5" s="115"/>
      <c r="D5" s="115"/>
      <c r="E5" s="115"/>
      <c r="F5" s="115"/>
      <c r="G5" s="115"/>
    </row>
    <row r="6" spans="1:7" ht="12.75" hidden="1">
      <c r="A6" s="27"/>
      <c r="B6" s="28"/>
      <c r="C6" s="29"/>
      <c r="D6" s="30"/>
      <c r="E6" s="16"/>
      <c r="F6" s="16"/>
      <c r="G6" s="16"/>
    </row>
    <row r="7" spans="1:7" ht="12.75" customHeight="1">
      <c r="A7" s="27"/>
      <c r="B7" s="28"/>
      <c r="C7" s="29"/>
      <c r="D7" s="30"/>
      <c r="E7" s="116"/>
      <c r="F7" s="116"/>
      <c r="G7" s="72" t="s">
        <v>139</v>
      </c>
    </row>
    <row r="8" spans="1:7" ht="72.75" customHeight="1">
      <c r="A8" s="43" t="s">
        <v>255</v>
      </c>
      <c r="B8" s="79" t="s">
        <v>49</v>
      </c>
      <c r="C8" s="80" t="s">
        <v>262</v>
      </c>
      <c r="D8" s="81" t="s">
        <v>48</v>
      </c>
      <c r="E8" s="31" t="s">
        <v>169</v>
      </c>
      <c r="F8" s="31" t="s">
        <v>241</v>
      </c>
      <c r="G8" s="31" t="s">
        <v>240</v>
      </c>
    </row>
    <row r="9" spans="1:7" ht="39" customHeight="1" outlineLevel="2">
      <c r="A9" s="44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2024-2026 годы"</v>
      </c>
      <c r="B9" s="58" t="str">
        <f>'Приложение 3'!D49</f>
        <v>01</v>
      </c>
      <c r="C9" s="58">
        <f>'Приложение 3'!E49</f>
        <v>0</v>
      </c>
      <c r="D9" s="58" t="s">
        <v>50</v>
      </c>
      <c r="E9" s="59">
        <f>SUM('Приложение 3'!G49)</f>
        <v>50</v>
      </c>
      <c r="F9" s="59">
        <f>SUM('Приложение 3'!H49)</f>
        <v>0</v>
      </c>
      <c r="G9" s="102">
        <f aca="true" t="shared" si="0" ref="G9:G43">SUM(F9/E9)*100</f>
        <v>0</v>
      </c>
    </row>
    <row r="10" spans="1:7" ht="17.25" customHeight="1" outlineLevel="2">
      <c r="A10" s="45" t="s">
        <v>56</v>
      </c>
      <c r="B10" s="33" t="s">
        <v>256</v>
      </c>
      <c r="C10" s="33" t="s">
        <v>263</v>
      </c>
      <c r="D10" s="33" t="s">
        <v>256</v>
      </c>
      <c r="E10" s="57">
        <f>SUM('Приложение 3'!G50)</f>
        <v>50</v>
      </c>
      <c r="F10" s="57">
        <f>SUM('Приложение 3'!H50)</f>
        <v>0</v>
      </c>
      <c r="G10" s="101">
        <f t="shared" si="0"/>
        <v>0</v>
      </c>
    </row>
    <row r="11" spans="1:7" ht="39.75" customHeight="1" outlineLevel="5">
      <c r="A11" s="42" t="str">
        <f>'Приложение 3'!A138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58" t="s">
        <v>260</v>
      </c>
      <c r="C11" s="60">
        <v>0</v>
      </c>
      <c r="D11" s="58" t="s">
        <v>50</v>
      </c>
      <c r="E11" s="59">
        <f>SUM(E12+E18+E15)</f>
        <v>16769.709580000002</v>
      </c>
      <c r="F11" s="59">
        <f>SUM(F12+F18+F15)</f>
        <v>970.0571</v>
      </c>
      <c r="G11" s="102">
        <f t="shared" si="0"/>
        <v>5.7845790075990084</v>
      </c>
    </row>
    <row r="12" spans="1:7" ht="49.5" customHeight="1" hidden="1" outlineLevel="5">
      <c r="A12" s="42" t="str">
        <f>'Приложение 3'!A139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58" t="s">
        <v>260</v>
      </c>
      <c r="C12" s="60">
        <v>1</v>
      </c>
      <c r="D12" s="58" t="s">
        <v>50</v>
      </c>
      <c r="E12" s="59">
        <f>SUM(E13:E14)</f>
        <v>0</v>
      </c>
      <c r="F12" s="59">
        <f>SUM(F13:F14)</f>
        <v>0</v>
      </c>
      <c r="G12" s="101" t="e">
        <f t="shared" si="0"/>
        <v>#DIV/0!</v>
      </c>
    </row>
    <row r="13" spans="1:7" ht="27" customHeight="1" hidden="1">
      <c r="A13" s="45" t="s">
        <v>60</v>
      </c>
      <c r="B13" s="33" t="s">
        <v>260</v>
      </c>
      <c r="C13" s="33" t="s">
        <v>53</v>
      </c>
      <c r="D13" s="33" t="s">
        <v>256</v>
      </c>
      <c r="E13" s="57">
        <f>SUM('Приложение 3'!G142+'Приложение 3'!G140)</f>
        <v>0</v>
      </c>
      <c r="F13" s="57">
        <f>SUM('Приложение 3'!H142+'Приложение 3'!H140)</f>
        <v>0</v>
      </c>
      <c r="G13" s="101" t="e">
        <f t="shared" si="0"/>
        <v>#DIV/0!</v>
      </c>
    </row>
    <row r="14" spans="1:7" ht="27" customHeight="1" hidden="1">
      <c r="A14" s="45" t="s">
        <v>159</v>
      </c>
      <c r="B14" s="33" t="s">
        <v>260</v>
      </c>
      <c r="C14" s="33" t="s">
        <v>53</v>
      </c>
      <c r="D14" s="33" t="s">
        <v>260</v>
      </c>
      <c r="E14" s="57">
        <f>SUM('Приложение 3'!G141)</f>
        <v>0</v>
      </c>
      <c r="F14" s="57">
        <f>SUM('Приложение 3'!H141)</f>
        <v>0</v>
      </c>
      <c r="G14" s="101" t="e">
        <f t="shared" si="0"/>
        <v>#DIV/0!</v>
      </c>
    </row>
    <row r="15" spans="1:7" ht="27" customHeight="1">
      <c r="A15" s="42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58" t="s">
        <v>260</v>
      </c>
      <c r="C15" s="60">
        <v>3</v>
      </c>
      <c r="D15" s="58" t="s">
        <v>50</v>
      </c>
      <c r="E15" s="59">
        <f>SUM(E16:E17)</f>
        <v>15422.70958</v>
      </c>
      <c r="F15" s="59">
        <f>SUM(F16:F17)</f>
        <v>373.0361</v>
      </c>
      <c r="G15" s="102">
        <f t="shared" si="0"/>
        <v>2.4187455392647026</v>
      </c>
    </row>
    <row r="16" spans="1:8" ht="36">
      <c r="A16" s="41" t="s">
        <v>83</v>
      </c>
      <c r="B16" s="33" t="s">
        <v>260</v>
      </c>
      <c r="C16" s="33" t="s">
        <v>55</v>
      </c>
      <c r="D16" s="33" t="s">
        <v>256</v>
      </c>
      <c r="E16" s="57">
        <f>SUM('Приложение 3'!G296+'Приложение 3'!G164+'Приложение 3'!G143)</f>
        <v>15000</v>
      </c>
      <c r="F16" s="57">
        <f>SUM('Приложение 3'!H296+'Приложение 3'!H164+'Приложение 3'!H143)</f>
        <v>0</v>
      </c>
      <c r="G16" s="101">
        <f t="shared" si="0"/>
        <v>0</v>
      </c>
      <c r="H16" s="66"/>
    </row>
    <row r="17" spans="1:7" ht="24">
      <c r="A17" s="45" t="s">
        <v>74</v>
      </c>
      <c r="B17" s="33" t="s">
        <v>260</v>
      </c>
      <c r="C17" s="33" t="s">
        <v>55</v>
      </c>
      <c r="D17" s="33" t="s">
        <v>260</v>
      </c>
      <c r="E17" s="57">
        <f>SUM('Приложение 3'!G165+'Приложение 3'!G187+'Приложение 3'!G65+'Приложение 3'!G233)</f>
        <v>422.70958</v>
      </c>
      <c r="F17" s="57">
        <f>SUM('Приложение 3'!H165+'Приложение 3'!H187+'Приложение 3'!H65+'Приложение 3'!H233)</f>
        <v>373.0361</v>
      </c>
      <c r="G17" s="101">
        <f t="shared" si="0"/>
        <v>88.24879246881511</v>
      </c>
    </row>
    <row r="18" spans="1:7" ht="36" customHeight="1">
      <c r="A18" s="44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18" s="58" t="s">
        <v>260</v>
      </c>
      <c r="C18" s="58" t="s">
        <v>61</v>
      </c>
      <c r="D18" s="58" t="s">
        <v>50</v>
      </c>
      <c r="E18" s="59">
        <f>SUM(E19:E20)</f>
        <v>1347</v>
      </c>
      <c r="F18" s="59">
        <f>SUM(F19:F20)</f>
        <v>597.021</v>
      </c>
      <c r="G18" s="102">
        <f t="shared" si="0"/>
        <v>44.322271714922046</v>
      </c>
    </row>
    <row r="19" spans="1:7" ht="26.25" customHeight="1">
      <c r="A19" s="45" t="s">
        <v>90</v>
      </c>
      <c r="B19" s="33" t="s">
        <v>260</v>
      </c>
      <c r="C19" s="33" t="s">
        <v>61</v>
      </c>
      <c r="D19" s="33" t="s">
        <v>256</v>
      </c>
      <c r="E19" s="57">
        <f>SUM('Приложение 3'!G67+'Приложение 3'!G167+'Приложение 3'!G192+'Приложение 3'!G191)</f>
        <v>1347</v>
      </c>
      <c r="F19" s="57">
        <f>SUM('Приложение 3'!H67+'Приложение 3'!H167+'Приложение 3'!H192+'Приложение 3'!H191)</f>
        <v>597.021</v>
      </c>
      <c r="G19" s="101">
        <f t="shared" si="0"/>
        <v>44.322271714922046</v>
      </c>
    </row>
    <row r="20" spans="1:7" ht="48" hidden="1">
      <c r="A20" s="45" t="s">
        <v>132</v>
      </c>
      <c r="B20" s="33" t="s">
        <v>260</v>
      </c>
      <c r="C20" s="33" t="s">
        <v>61</v>
      </c>
      <c r="D20" s="33" t="s">
        <v>260</v>
      </c>
      <c r="E20" s="57">
        <f>SUM('Приложение 3'!G193)</f>
        <v>0</v>
      </c>
      <c r="F20" s="57">
        <f>SUM('Приложение 3'!H193)</f>
        <v>0</v>
      </c>
      <c r="G20" s="101" t="e">
        <f t="shared" si="0"/>
        <v>#DIV/0!</v>
      </c>
    </row>
    <row r="21" spans="1:7" ht="26.25" customHeight="1">
      <c r="A21" s="42" t="str">
        <f>'Приложение 3'!A154</f>
        <v>Муниципальная программа "Комплексное развитие сельских территорий"</v>
      </c>
      <c r="B21" s="58" t="s">
        <v>266</v>
      </c>
      <c r="C21" s="58" t="s">
        <v>263</v>
      </c>
      <c r="D21" s="58" t="s">
        <v>50</v>
      </c>
      <c r="E21" s="59">
        <f>SUM(E22:E24)</f>
        <v>79999.9998</v>
      </c>
      <c r="F21" s="59">
        <f>SUM(F22:F24)</f>
        <v>0</v>
      </c>
      <c r="G21" s="102">
        <f t="shared" si="0"/>
        <v>0</v>
      </c>
    </row>
    <row r="22" spans="1:7" ht="26.25" customHeight="1" hidden="1">
      <c r="A22" s="41" t="s">
        <v>192</v>
      </c>
      <c r="B22" s="33" t="s">
        <v>266</v>
      </c>
      <c r="C22" s="33" t="s">
        <v>263</v>
      </c>
      <c r="D22" s="33" t="s">
        <v>260</v>
      </c>
      <c r="E22" s="57">
        <f>SUM('Приложение 3'!G154)</f>
        <v>0</v>
      </c>
      <c r="F22" s="57">
        <f>SUM('Приложение 3'!H154)</f>
        <v>0</v>
      </c>
      <c r="G22" s="101" t="e">
        <f t="shared" si="0"/>
        <v>#DIV/0!</v>
      </c>
    </row>
    <row r="23" spans="1:7" ht="24" hidden="1">
      <c r="A23" s="41" t="s">
        <v>182</v>
      </c>
      <c r="B23" s="33" t="s">
        <v>266</v>
      </c>
      <c r="C23" s="33" t="s">
        <v>263</v>
      </c>
      <c r="D23" s="33" t="s">
        <v>267</v>
      </c>
      <c r="E23" s="57">
        <f>SUM('Приложение 3'!G271)</f>
        <v>0</v>
      </c>
      <c r="F23" s="57">
        <f>SUM('Приложение 3'!H154)</f>
        <v>0</v>
      </c>
      <c r="G23" s="101" t="e">
        <f t="shared" si="0"/>
        <v>#DIV/0!</v>
      </c>
    </row>
    <row r="24" spans="1:7" ht="24">
      <c r="A24" s="41" t="s">
        <v>224</v>
      </c>
      <c r="B24" s="33" t="s">
        <v>266</v>
      </c>
      <c r="C24" s="33" t="s">
        <v>263</v>
      </c>
      <c r="D24" s="33" t="s">
        <v>225</v>
      </c>
      <c r="E24" s="57">
        <f>SUM('Приложение 3'!G123)</f>
        <v>79999.9998</v>
      </c>
      <c r="F24" s="57">
        <f>SUM('Приложение 3'!H123)</f>
        <v>0</v>
      </c>
      <c r="G24" s="101">
        <f t="shared" si="0"/>
        <v>0</v>
      </c>
    </row>
    <row r="25" spans="1:7" ht="39" customHeight="1">
      <c r="A25" s="42" t="str">
        <f>'Приложение 3'!A126</f>
        <v>Муниципальная программа "Развитие и поддержка малого предпринимательства Алексеевского муниципального района на 2024-2028 годы "</v>
      </c>
      <c r="B25" s="58" t="s">
        <v>267</v>
      </c>
      <c r="C25" s="58" t="s">
        <v>263</v>
      </c>
      <c r="D25" s="58" t="s">
        <v>50</v>
      </c>
      <c r="E25" s="59">
        <f>SUM('Приложение 3'!G126)</f>
        <v>50</v>
      </c>
      <c r="F25" s="59">
        <f>SUM('Приложение 3'!H126)</f>
        <v>0</v>
      </c>
      <c r="G25" s="102">
        <f t="shared" si="0"/>
        <v>0</v>
      </c>
    </row>
    <row r="26" spans="1:7" ht="36" hidden="1">
      <c r="A26" s="45" t="s">
        <v>62</v>
      </c>
      <c r="B26" s="33" t="s">
        <v>267</v>
      </c>
      <c r="C26" s="33" t="s">
        <v>263</v>
      </c>
      <c r="D26" s="33" t="s">
        <v>256</v>
      </c>
      <c r="E26" s="57">
        <f>SUM('Приложение 3'!G127)</f>
        <v>0</v>
      </c>
      <c r="F26" s="57">
        <f>SUM('Приложение 3'!H127)</f>
        <v>0</v>
      </c>
      <c r="G26" s="101" t="e">
        <f t="shared" si="0"/>
        <v>#DIV/0!</v>
      </c>
    </row>
    <row r="27" spans="1:7" ht="22.5" customHeight="1">
      <c r="A27" s="45" t="s">
        <v>63</v>
      </c>
      <c r="B27" s="33" t="s">
        <v>267</v>
      </c>
      <c r="C27" s="33" t="s">
        <v>263</v>
      </c>
      <c r="D27" s="33" t="s">
        <v>260</v>
      </c>
      <c r="E27" s="57">
        <f>SUM('Приложение 3'!G129)</f>
        <v>50</v>
      </c>
      <c r="F27" s="57">
        <f>SUM('Приложение 3'!H129)</f>
        <v>0</v>
      </c>
      <c r="G27" s="101">
        <f t="shared" si="0"/>
        <v>0</v>
      </c>
    </row>
    <row r="28" spans="1:7" ht="35.25" customHeight="1" hidden="1">
      <c r="A28" s="45" t="s">
        <v>110</v>
      </c>
      <c r="B28" s="33" t="s">
        <v>267</v>
      </c>
      <c r="C28" s="33" t="s">
        <v>263</v>
      </c>
      <c r="D28" s="33" t="s">
        <v>266</v>
      </c>
      <c r="E28" s="57">
        <f>SUM('Приложение 3'!G128)</f>
        <v>0</v>
      </c>
      <c r="F28" s="57">
        <f>SUM('Приложение 3'!H128)</f>
        <v>0</v>
      </c>
      <c r="G28" s="101" t="e">
        <f t="shared" si="0"/>
        <v>#DIV/0!</v>
      </c>
    </row>
    <row r="29" spans="1:7" ht="38.25" customHeight="1">
      <c r="A29" s="42" t="str">
        <f>'Приложение 3'!A157</f>
        <v>Муниципальная программа "Охрана окружающей среды Алексеевского муниципального района на 2024-2026 годы"</v>
      </c>
      <c r="B29" s="58" t="s">
        <v>269</v>
      </c>
      <c r="C29" s="58" t="s">
        <v>263</v>
      </c>
      <c r="D29" s="58" t="s">
        <v>50</v>
      </c>
      <c r="E29" s="59">
        <f>SUM('Приложение 3'!G157)</f>
        <v>835</v>
      </c>
      <c r="F29" s="59">
        <f>SUM('Приложение 3'!H157)</f>
        <v>0</v>
      </c>
      <c r="G29" s="102">
        <f t="shared" si="0"/>
        <v>0</v>
      </c>
    </row>
    <row r="30" spans="1:7" ht="26.25" customHeight="1">
      <c r="A30" s="45" t="s">
        <v>217</v>
      </c>
      <c r="B30" s="33" t="s">
        <v>269</v>
      </c>
      <c r="C30" s="33" t="s">
        <v>263</v>
      </c>
      <c r="D30" s="33" t="s">
        <v>256</v>
      </c>
      <c r="E30" s="57">
        <f>SUM('Приложение 3'!G157)</f>
        <v>835</v>
      </c>
      <c r="F30" s="57">
        <f>SUM('Приложение 3'!H157)</f>
        <v>0</v>
      </c>
      <c r="G30" s="101">
        <f t="shared" si="0"/>
        <v>0</v>
      </c>
    </row>
    <row r="31" spans="1:7" ht="62.25" customHeight="1">
      <c r="A31" s="42" t="str">
        <f>'Приложение 3'!A242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31" s="58" t="s">
        <v>278</v>
      </c>
      <c r="C31" s="58" t="s">
        <v>263</v>
      </c>
      <c r="D31" s="58" t="s">
        <v>50</v>
      </c>
      <c r="E31" s="59">
        <f>SUM('Приложение 3'!G242+'Приложение 3'!G68)</f>
        <v>199.2</v>
      </c>
      <c r="F31" s="59">
        <f>SUM('Приложение 3'!H242+'Приложение 3'!H68)</f>
        <v>12.432</v>
      </c>
      <c r="G31" s="102">
        <f t="shared" si="0"/>
        <v>6.240963855421687</v>
      </c>
    </row>
    <row r="32" spans="1:7" ht="27.75" customHeight="1">
      <c r="A32" s="42" t="str">
        <f>'Приложение 3'!A243</f>
        <v>Подпрограмма "Комплексные меры по противодействию наркомании"</v>
      </c>
      <c r="B32" s="58" t="s">
        <v>278</v>
      </c>
      <c r="C32" s="58" t="s">
        <v>53</v>
      </c>
      <c r="D32" s="58" t="s">
        <v>50</v>
      </c>
      <c r="E32" s="59">
        <f>SUM('Приложение 3'!G243)</f>
        <v>20</v>
      </c>
      <c r="F32" s="59">
        <f>SUM('Приложение 3'!H243)</f>
        <v>0</v>
      </c>
      <c r="G32" s="102">
        <f t="shared" si="0"/>
        <v>0</v>
      </c>
    </row>
    <row r="33" spans="1:7" ht="37.5" customHeight="1">
      <c r="A33" s="45" t="s">
        <v>109</v>
      </c>
      <c r="B33" s="33" t="s">
        <v>278</v>
      </c>
      <c r="C33" s="33" t="s">
        <v>53</v>
      </c>
      <c r="D33" s="33" t="s">
        <v>256</v>
      </c>
      <c r="E33" s="57">
        <f>SUM('Приложение 3'!G244)</f>
        <v>20</v>
      </c>
      <c r="F33" s="57">
        <f>SUM('Приложение 3'!H244)</f>
        <v>0</v>
      </c>
      <c r="G33" s="101">
        <f t="shared" si="0"/>
        <v>0</v>
      </c>
    </row>
    <row r="34" spans="1:7" ht="29.25" customHeight="1" outlineLevel="1">
      <c r="A34" s="42" t="str">
        <f>'Приложение 3'!A245</f>
        <v>Подпрограмма "Реализация мероприятий молодежной политики и социальной адаптации молодежи "</v>
      </c>
      <c r="B34" s="58" t="s">
        <v>278</v>
      </c>
      <c r="C34" s="58" t="s">
        <v>54</v>
      </c>
      <c r="D34" s="58" t="s">
        <v>50</v>
      </c>
      <c r="E34" s="59">
        <f>SUM(E35:E36)</f>
        <v>169.2</v>
      </c>
      <c r="F34" s="59">
        <f>SUM(F35:F36)</f>
        <v>12.432</v>
      </c>
      <c r="G34" s="102">
        <f t="shared" si="0"/>
        <v>7.347517730496454</v>
      </c>
    </row>
    <row r="35" spans="1:7" ht="30" customHeight="1" outlineLevel="5">
      <c r="A35" s="45" t="s">
        <v>64</v>
      </c>
      <c r="B35" s="33" t="s">
        <v>278</v>
      </c>
      <c r="C35" s="33" t="s">
        <v>54</v>
      </c>
      <c r="D35" s="33" t="s">
        <v>256</v>
      </c>
      <c r="E35" s="57">
        <f>SUM('Приложение 3'!G246)</f>
        <v>30</v>
      </c>
      <c r="F35" s="57">
        <f>SUM('Приложение 3'!H246)</f>
        <v>12.432</v>
      </c>
      <c r="G35" s="101">
        <f t="shared" si="0"/>
        <v>41.44</v>
      </c>
    </row>
    <row r="36" spans="1:7" ht="30" customHeight="1" outlineLevel="5">
      <c r="A36" s="45" t="s">
        <v>179</v>
      </c>
      <c r="B36" s="33" t="s">
        <v>278</v>
      </c>
      <c r="C36" s="34">
        <v>2</v>
      </c>
      <c r="D36" s="33" t="s">
        <v>260</v>
      </c>
      <c r="E36" s="57">
        <f>SUM('Приложение 3'!G247+'Приложение 3'!G70)</f>
        <v>139.2</v>
      </c>
      <c r="F36" s="57">
        <f>SUM('Приложение 3'!H247+'Приложение 3'!H70)</f>
        <v>0</v>
      </c>
      <c r="G36" s="101">
        <f t="shared" si="0"/>
        <v>0</v>
      </c>
    </row>
    <row r="37" spans="1:7" ht="34.5" customHeight="1" outlineLevel="5">
      <c r="A37" s="42" t="str">
        <f>'Приложение 3'!A248</f>
        <v>Подпрограмма " Профилактика безнадзорности, правонарушений и неблагополучия несовершеннолетних"</v>
      </c>
      <c r="B37" s="58" t="s">
        <v>278</v>
      </c>
      <c r="C37" s="58" t="s">
        <v>55</v>
      </c>
      <c r="D37" s="58" t="s">
        <v>50</v>
      </c>
      <c r="E37" s="59">
        <f>SUM('Приложение 3'!G248)</f>
        <v>10</v>
      </c>
      <c r="F37" s="59">
        <f>SUM('Приложение 3'!H248)</f>
        <v>0</v>
      </c>
      <c r="G37" s="102">
        <f t="shared" si="0"/>
        <v>0</v>
      </c>
    </row>
    <row r="38" spans="1:7" s="16" customFormat="1" ht="36" outlineLevel="2">
      <c r="A38" s="45" t="s">
        <v>105</v>
      </c>
      <c r="B38" s="33" t="s">
        <v>278</v>
      </c>
      <c r="C38" s="34">
        <v>3</v>
      </c>
      <c r="D38" s="33" t="s">
        <v>256</v>
      </c>
      <c r="E38" s="57">
        <f>SUM('Приложение 3'!G249)</f>
        <v>10</v>
      </c>
      <c r="F38" s="57">
        <f>SUM('Приложение 3'!H249)</f>
        <v>0</v>
      </c>
      <c r="G38" s="101">
        <f t="shared" si="0"/>
        <v>0</v>
      </c>
    </row>
    <row r="39" spans="1:7" s="16" customFormat="1" ht="84" hidden="1" outlineLevel="2">
      <c r="A39" s="42" t="str">
        <f>'Приложение 3'!A263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9" s="58" t="s">
        <v>78</v>
      </c>
      <c r="C39" s="58" t="s">
        <v>263</v>
      </c>
      <c r="D39" s="58" t="s">
        <v>50</v>
      </c>
      <c r="E39" s="59">
        <f>SUM('Приложение 3'!G263)</f>
        <v>0</v>
      </c>
      <c r="F39" s="59">
        <f>SUM('Приложение 3'!H263)</f>
        <v>0</v>
      </c>
      <c r="G39" s="101" t="e">
        <f t="shared" si="0"/>
        <v>#DIV/0!</v>
      </c>
    </row>
    <row r="40" spans="1:7" s="16" customFormat="1" ht="48" hidden="1" outlineLevel="2">
      <c r="A40" s="45" t="s">
        <v>80</v>
      </c>
      <c r="B40" s="33" t="s">
        <v>78</v>
      </c>
      <c r="C40" s="34">
        <v>0</v>
      </c>
      <c r="D40" s="33" t="s">
        <v>256</v>
      </c>
      <c r="E40" s="57">
        <f>SUM('Приложение 3'!G264)</f>
        <v>0</v>
      </c>
      <c r="F40" s="57">
        <f>SUM('Приложение 3'!H264)</f>
        <v>0</v>
      </c>
      <c r="G40" s="101" t="e">
        <f t="shared" si="0"/>
        <v>#DIV/0!</v>
      </c>
    </row>
    <row r="41" spans="1:7" s="16" customFormat="1" ht="40.5" customHeight="1" outlineLevel="2">
      <c r="A41" s="42" t="str">
        <f>'Приложение 3'!A130</f>
        <v>Муниципальная программа "Градостроительная политика на территории Алексеевского муниципального района на 2022–2024 годы"</v>
      </c>
      <c r="B41" s="58" t="s">
        <v>119</v>
      </c>
      <c r="C41" s="60">
        <v>0</v>
      </c>
      <c r="D41" s="58" t="s">
        <v>50</v>
      </c>
      <c r="E41" s="59">
        <f>SUM('Приложение 3'!G130)</f>
        <v>400</v>
      </c>
      <c r="F41" s="59">
        <f>SUM('Приложение 3'!H130)</f>
        <v>146.5</v>
      </c>
      <c r="G41" s="102">
        <f t="shared" si="0"/>
        <v>36.625</v>
      </c>
    </row>
    <row r="42" spans="1:7" s="16" customFormat="1" ht="38.25" customHeight="1" outlineLevel="2">
      <c r="A42" s="45" t="s">
        <v>121</v>
      </c>
      <c r="B42" s="33" t="s">
        <v>119</v>
      </c>
      <c r="C42" s="34">
        <v>0</v>
      </c>
      <c r="D42" s="33" t="s">
        <v>256</v>
      </c>
      <c r="E42" s="57">
        <f>SUM('Приложение 3'!G130-E43)</f>
        <v>200</v>
      </c>
      <c r="F42" s="57">
        <f>SUM('Приложение 3'!H131-F43)</f>
        <v>146.5</v>
      </c>
      <c r="G42" s="101">
        <f t="shared" si="0"/>
        <v>73.25</v>
      </c>
    </row>
    <row r="43" spans="1:7" s="16" customFormat="1" ht="59.25" customHeight="1" outlineLevel="2">
      <c r="A43" s="45" t="s">
        <v>120</v>
      </c>
      <c r="B43" s="33" t="s">
        <v>119</v>
      </c>
      <c r="C43" s="34">
        <v>0</v>
      </c>
      <c r="D43" s="33" t="s">
        <v>260</v>
      </c>
      <c r="E43" s="57">
        <v>200</v>
      </c>
      <c r="F43" s="57">
        <v>0</v>
      </c>
      <c r="G43" s="101">
        <f t="shared" si="0"/>
        <v>0</v>
      </c>
    </row>
    <row r="44" spans="1:7" s="16" customFormat="1" ht="26.25" customHeight="1" outlineLevel="2">
      <c r="A44" s="45" t="s">
        <v>239</v>
      </c>
      <c r="B44" s="33" t="s">
        <v>119</v>
      </c>
      <c r="C44" s="34">
        <v>0</v>
      </c>
      <c r="D44" s="33" t="s">
        <v>266</v>
      </c>
      <c r="E44" s="57">
        <f>SUM('Приложение 3'!G133)</f>
        <v>0</v>
      </c>
      <c r="F44" s="57">
        <f>SUM('Приложение 3'!H133)</f>
        <v>0</v>
      </c>
      <c r="G44" s="101">
        <v>0</v>
      </c>
    </row>
    <row r="45" spans="1:7" s="16" customFormat="1" ht="48" hidden="1" outlineLevel="2">
      <c r="A45" s="42" t="str">
        <f>'Приложение 3'!A291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5" s="58" t="s">
        <v>160</v>
      </c>
      <c r="C45" s="58" t="s">
        <v>263</v>
      </c>
      <c r="D45" s="58" t="s">
        <v>50</v>
      </c>
      <c r="E45" s="59">
        <f>SUM('Приложение 3'!G291)</f>
        <v>0</v>
      </c>
      <c r="F45" s="59">
        <f>SUM('Приложение 3'!H291)</f>
        <v>0</v>
      </c>
      <c r="G45" s="101" t="e">
        <f aca="true" t="shared" si="1" ref="G45:G76">SUM(F45/E45)*100</f>
        <v>#DIV/0!</v>
      </c>
    </row>
    <row r="46" spans="1:7" ht="36" hidden="1" outlineLevel="3">
      <c r="A46" s="41" t="s">
        <v>161</v>
      </c>
      <c r="B46" s="33" t="s">
        <v>160</v>
      </c>
      <c r="C46" s="33" t="s">
        <v>263</v>
      </c>
      <c r="D46" s="33" t="s">
        <v>256</v>
      </c>
      <c r="E46" s="57">
        <f>SUM('Приложение 3'!G292)</f>
        <v>0</v>
      </c>
      <c r="F46" s="57">
        <f>SUM('Приложение 3'!H292)</f>
        <v>0</v>
      </c>
      <c r="G46" s="101" t="e">
        <f t="shared" si="1"/>
        <v>#DIV/0!</v>
      </c>
    </row>
    <row r="47" spans="1:7" ht="36.75" customHeight="1" outlineLevel="3">
      <c r="A47" s="42" t="str">
        <f>'Приложение 3'!A316</f>
        <v>Муниципальная программа "Молодой семье – доступное жилье на территории Алексеевского муниципального района на 2022-2024 годы"</v>
      </c>
      <c r="B47" s="58" t="s">
        <v>114</v>
      </c>
      <c r="C47" s="58" t="s">
        <v>263</v>
      </c>
      <c r="D47" s="58" t="s">
        <v>50</v>
      </c>
      <c r="E47" s="59">
        <f>SUM('Приложение 3'!G316)</f>
        <v>378</v>
      </c>
      <c r="F47" s="59">
        <f>SUM('Приложение 3'!H316)</f>
        <v>378</v>
      </c>
      <c r="G47" s="102">
        <f t="shared" si="1"/>
        <v>100</v>
      </c>
    </row>
    <row r="48" spans="1:7" ht="36" outlineLevel="3">
      <c r="A48" s="41" t="s">
        <v>227</v>
      </c>
      <c r="B48" s="33" t="s">
        <v>114</v>
      </c>
      <c r="C48" s="33" t="s">
        <v>263</v>
      </c>
      <c r="D48" s="33" t="s">
        <v>256</v>
      </c>
      <c r="E48" s="57">
        <f>SUM('Приложение 3'!G317)</f>
        <v>378</v>
      </c>
      <c r="F48" s="57">
        <f>SUM('Приложение 3'!H317)</f>
        <v>378</v>
      </c>
      <c r="G48" s="101">
        <f t="shared" si="1"/>
        <v>100</v>
      </c>
    </row>
    <row r="49" spans="1:7" ht="35.25" customHeight="1">
      <c r="A49" s="42" t="str">
        <f>'Приложение 3'!A274</f>
        <v>Муниципальная программа "Развитие народных художественных промыслов Алексеевского муниципального района на 2024-2026 годы"</v>
      </c>
      <c r="B49" s="58" t="s">
        <v>259</v>
      </c>
      <c r="C49" s="58" t="s">
        <v>263</v>
      </c>
      <c r="D49" s="58" t="s">
        <v>50</v>
      </c>
      <c r="E49" s="59">
        <f>SUM('Приложение 3'!G274)</f>
        <v>20</v>
      </c>
      <c r="F49" s="59">
        <f>SUM('Приложение 3'!H274)</f>
        <v>0</v>
      </c>
      <c r="G49" s="102">
        <f t="shared" si="1"/>
        <v>0</v>
      </c>
    </row>
    <row r="50" spans="1:7" ht="36" customHeight="1">
      <c r="A50" s="45" t="s">
        <v>65</v>
      </c>
      <c r="B50" s="33" t="s">
        <v>259</v>
      </c>
      <c r="C50" s="33" t="s">
        <v>263</v>
      </c>
      <c r="D50" s="33" t="s">
        <v>256</v>
      </c>
      <c r="E50" s="57">
        <f>SUM('Приложение 3'!G275)</f>
        <v>20</v>
      </c>
      <c r="F50" s="57">
        <f>SUM('Приложение 3'!H275)</f>
        <v>0</v>
      </c>
      <c r="G50" s="101">
        <f t="shared" si="1"/>
        <v>0</v>
      </c>
    </row>
    <row r="51" spans="1:7" ht="39" customHeight="1">
      <c r="A51" s="42" t="str">
        <f>'Приложение 3'!A276</f>
        <v>Муниципальная программа "О поддержке деятельности казачьих обществ Алексеевского муниципального района на 2024-2026 годы"</v>
      </c>
      <c r="B51" s="33" t="s">
        <v>258</v>
      </c>
      <c r="C51" s="33" t="s">
        <v>263</v>
      </c>
      <c r="D51" s="33" t="s">
        <v>50</v>
      </c>
      <c r="E51" s="59">
        <f>SUM('Приложение 3'!G276)</f>
        <v>20</v>
      </c>
      <c r="F51" s="59">
        <f>SUM('Приложение 3'!H276)</f>
        <v>0</v>
      </c>
      <c r="G51" s="102">
        <f t="shared" si="1"/>
        <v>0</v>
      </c>
    </row>
    <row r="52" spans="1:7" ht="27" customHeight="1">
      <c r="A52" s="45" t="s">
        <v>66</v>
      </c>
      <c r="B52" s="33" t="s">
        <v>258</v>
      </c>
      <c r="C52" s="33">
        <f>'Приложение 3'!E343</f>
        <v>0</v>
      </c>
      <c r="D52" s="33" t="s">
        <v>256</v>
      </c>
      <c r="E52" s="57">
        <f>SUM('Приложение 3'!G277)</f>
        <v>20</v>
      </c>
      <c r="F52" s="57">
        <f>SUM('Приложение 3'!H277)</f>
        <v>0</v>
      </c>
      <c r="G52" s="101">
        <f t="shared" si="1"/>
        <v>0</v>
      </c>
    </row>
    <row r="53" spans="1:7" ht="74.25" customHeight="1">
      <c r="A53" s="42" t="str">
        <f>'Приложение 3'!A303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также, в возмещении части арендной платы за жилье молодым специалистам, работающим в Алексеевском муниципальном районе 2024-2026 годы"</v>
      </c>
      <c r="B53" s="58" t="s">
        <v>261</v>
      </c>
      <c r="C53" s="58">
        <f>'Приложение 3'!E119</f>
        <v>0</v>
      </c>
      <c r="D53" s="58" t="s">
        <v>50</v>
      </c>
      <c r="E53" s="59">
        <f>SUM('Приложение 3'!G303)</f>
        <v>600</v>
      </c>
      <c r="F53" s="59">
        <f>SUM('Приложение 3'!H303)</f>
        <v>0</v>
      </c>
      <c r="G53" s="102">
        <f t="shared" si="1"/>
        <v>0</v>
      </c>
    </row>
    <row r="54" spans="1:7" ht="72" customHeight="1">
      <c r="A54" s="45" t="s">
        <v>67</v>
      </c>
      <c r="B54" s="33" t="s">
        <v>261</v>
      </c>
      <c r="C54" s="33" t="s">
        <v>263</v>
      </c>
      <c r="D54" s="33" t="s">
        <v>256</v>
      </c>
      <c r="E54" s="57">
        <f>SUM('Приложение 3'!G304)</f>
        <v>600</v>
      </c>
      <c r="F54" s="57">
        <f>SUM('Приложение 3'!H304)</f>
        <v>0</v>
      </c>
      <c r="G54" s="101">
        <f t="shared" si="1"/>
        <v>0</v>
      </c>
    </row>
    <row r="55" spans="1:7" ht="24" customHeight="1">
      <c r="A55" s="42" t="str">
        <f>'Приложение 3'!A71</f>
        <v>Муниципальная программа "Маршрут Победы на 2024-2026 годы"</v>
      </c>
      <c r="B55" s="58" t="s">
        <v>264</v>
      </c>
      <c r="C55" s="58" t="s">
        <v>263</v>
      </c>
      <c r="D55" s="58" t="s">
        <v>50</v>
      </c>
      <c r="E55" s="59">
        <f>SUM('Приложение 3'!G71)</f>
        <v>220</v>
      </c>
      <c r="F55" s="59">
        <f>SUM('Приложение 3'!H71)</f>
        <v>58.135</v>
      </c>
      <c r="G55" s="102">
        <f t="shared" si="1"/>
        <v>26.424999999999997</v>
      </c>
    </row>
    <row r="56" spans="1:7" ht="50.25" customHeight="1">
      <c r="A56" s="45" t="s">
        <v>168</v>
      </c>
      <c r="B56" s="33" t="s">
        <v>264</v>
      </c>
      <c r="C56" s="33" t="s">
        <v>263</v>
      </c>
      <c r="D56" s="33" t="s">
        <v>256</v>
      </c>
      <c r="E56" s="57">
        <f>SUM('Приложение 3'!G72+'Приложение 3'!G73)</f>
        <v>220</v>
      </c>
      <c r="F56" s="57">
        <f>SUM('Приложение 3'!H72+'Приложение 3'!H73)</f>
        <v>58.135</v>
      </c>
      <c r="G56" s="101">
        <f t="shared" si="1"/>
        <v>26.424999999999997</v>
      </c>
    </row>
    <row r="57" spans="1:7" ht="40.5" customHeight="1">
      <c r="A57" s="44" t="str">
        <f>'Приложение 3'!A342</f>
        <v>Муниципальная программа "Развитие физической культуры и спорта в Алексеевском муниципальном районе на 2024-2026 годы"</v>
      </c>
      <c r="B57" s="58" t="s">
        <v>272</v>
      </c>
      <c r="C57" s="58" t="s">
        <v>263</v>
      </c>
      <c r="D57" s="58" t="s">
        <v>50</v>
      </c>
      <c r="E57" s="59">
        <f>SUM(E58+E59+E60)</f>
        <v>400</v>
      </c>
      <c r="F57" s="59">
        <f>SUM(F58+F59+F60)</f>
        <v>56.15</v>
      </c>
      <c r="G57" s="102">
        <f t="shared" si="1"/>
        <v>14.0375</v>
      </c>
    </row>
    <row r="58" spans="1:7" ht="45" customHeight="1">
      <c r="A58" s="45" t="s">
        <v>68</v>
      </c>
      <c r="B58" s="33" t="s">
        <v>272</v>
      </c>
      <c r="C58" s="33" t="s">
        <v>263</v>
      </c>
      <c r="D58" s="33" t="s">
        <v>256</v>
      </c>
      <c r="E58" s="57">
        <f>SUM('Приложение 3'!G343)</f>
        <v>400</v>
      </c>
      <c r="F58" s="57">
        <f>SUM('Приложение 3'!H343)</f>
        <v>56.15</v>
      </c>
      <c r="G58" s="101">
        <f t="shared" si="1"/>
        <v>14.0375</v>
      </c>
    </row>
    <row r="59" spans="1:7" ht="0.75" customHeight="1" hidden="1">
      <c r="A59" s="45" t="s">
        <v>167</v>
      </c>
      <c r="B59" s="33" t="s">
        <v>272</v>
      </c>
      <c r="C59" s="33" t="s">
        <v>263</v>
      </c>
      <c r="D59" s="33" t="s">
        <v>266</v>
      </c>
      <c r="E59" s="57">
        <f>SUM('Приложение 3'!G338)</f>
        <v>0</v>
      </c>
      <c r="F59" s="57">
        <f>SUM('Приложение 3'!H338)</f>
        <v>0</v>
      </c>
      <c r="G59" s="101" t="e">
        <f t="shared" si="1"/>
        <v>#DIV/0!</v>
      </c>
    </row>
    <row r="60" spans="1:7" ht="72" hidden="1">
      <c r="A60" s="45" t="s">
        <v>135</v>
      </c>
      <c r="B60" s="33" t="s">
        <v>272</v>
      </c>
      <c r="C60" s="33" t="s">
        <v>263</v>
      </c>
      <c r="D60" s="33" t="s">
        <v>134</v>
      </c>
      <c r="E60" s="57">
        <f>SUM('Приложение 3'!G195+'Приложение 3'!G196)</f>
        <v>0</v>
      </c>
      <c r="F60" s="57">
        <f>SUM('Приложение 3'!H195+'Приложение 3'!H196)</f>
        <v>0</v>
      </c>
      <c r="G60" s="101" t="e">
        <f t="shared" si="1"/>
        <v>#DIV/0!</v>
      </c>
    </row>
    <row r="61" spans="1:7" ht="51" customHeight="1">
      <c r="A61" s="44" t="str">
        <f>'Приложение 3'!A118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61" s="58" t="s">
        <v>24</v>
      </c>
      <c r="C61" s="58" t="s">
        <v>263</v>
      </c>
      <c r="D61" s="58" t="s">
        <v>50</v>
      </c>
      <c r="E61" s="59">
        <f>SUM('Приложение 3'!G118)</f>
        <v>44610.50808</v>
      </c>
      <c r="F61" s="59">
        <f>SUM('Приложение 3'!H118)</f>
        <v>0</v>
      </c>
      <c r="G61" s="102">
        <f t="shared" si="1"/>
        <v>0</v>
      </c>
    </row>
    <row r="62" spans="1:7" ht="39.75" customHeight="1">
      <c r="A62" s="45" t="s">
        <v>106</v>
      </c>
      <c r="B62" s="33" t="s">
        <v>24</v>
      </c>
      <c r="C62" s="33" t="s">
        <v>263</v>
      </c>
      <c r="D62" s="33" t="s">
        <v>256</v>
      </c>
      <c r="E62" s="57">
        <f>SUM('Приложение 3'!G118)</f>
        <v>44610.50808</v>
      </c>
      <c r="F62" s="57">
        <f>SUM('Приложение 3'!H118)</f>
        <v>0</v>
      </c>
      <c r="G62" s="101">
        <f t="shared" si="1"/>
        <v>0</v>
      </c>
    </row>
    <row r="63" spans="1:7" ht="54" customHeight="1">
      <c r="A63" s="44" t="str">
        <f>'Приложение 3'!A74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2024-2026 годы"</v>
      </c>
      <c r="B63" s="58" t="s">
        <v>26</v>
      </c>
      <c r="C63" s="58" t="s">
        <v>263</v>
      </c>
      <c r="D63" s="58" t="s">
        <v>50</v>
      </c>
      <c r="E63" s="59">
        <f>SUM(E64+E66)</f>
        <v>50</v>
      </c>
      <c r="F63" s="59">
        <f>SUM(F64+F66)</f>
        <v>0</v>
      </c>
      <c r="G63" s="102">
        <f t="shared" si="1"/>
        <v>0</v>
      </c>
    </row>
    <row r="64" spans="1:7" ht="18" customHeight="1">
      <c r="A64" s="44" t="str">
        <f>'Приложение 3'!A75</f>
        <v>Подпрограмма "Профилактика правонарушений"</v>
      </c>
      <c r="B64" s="58" t="s">
        <v>26</v>
      </c>
      <c r="C64" s="58" t="s">
        <v>53</v>
      </c>
      <c r="D64" s="58" t="s">
        <v>50</v>
      </c>
      <c r="E64" s="59">
        <f>SUM('Приложение 3'!G75)</f>
        <v>30</v>
      </c>
      <c r="F64" s="59">
        <f>SUM('Приложение 3'!H75)</f>
        <v>0</v>
      </c>
      <c r="G64" s="102">
        <f t="shared" si="1"/>
        <v>0</v>
      </c>
    </row>
    <row r="65" spans="1:7" ht="30.75" customHeight="1">
      <c r="A65" s="45" t="s">
        <v>122</v>
      </c>
      <c r="B65" s="33" t="s">
        <v>26</v>
      </c>
      <c r="C65" s="33" t="s">
        <v>53</v>
      </c>
      <c r="D65" s="33" t="s">
        <v>256</v>
      </c>
      <c r="E65" s="57">
        <f>SUM('Приложение 3'!G76)</f>
        <v>30</v>
      </c>
      <c r="F65" s="57">
        <f>SUM('Приложение 3'!H76)</f>
        <v>0</v>
      </c>
      <c r="G65" s="101">
        <f t="shared" si="1"/>
        <v>0</v>
      </c>
    </row>
    <row r="66" spans="1:7" ht="24.75" customHeight="1">
      <c r="A66" s="44" t="str">
        <f>'Приложение 3'!A77</f>
        <v>Подпрограмма "Формирование законопослушного поведения участников дорожного движения"</v>
      </c>
      <c r="B66" s="58" t="s">
        <v>26</v>
      </c>
      <c r="C66" s="58" t="s">
        <v>54</v>
      </c>
      <c r="D66" s="58" t="s">
        <v>50</v>
      </c>
      <c r="E66" s="59">
        <f>SUM('Приложение 3'!G77)</f>
        <v>20</v>
      </c>
      <c r="F66" s="59">
        <f>SUM('Приложение 3'!H77)</f>
        <v>0</v>
      </c>
      <c r="G66" s="102">
        <f t="shared" si="1"/>
        <v>0</v>
      </c>
    </row>
    <row r="67" spans="1:7" ht="33" customHeight="1">
      <c r="A67" s="45" t="s">
        <v>118</v>
      </c>
      <c r="B67" s="33" t="s">
        <v>26</v>
      </c>
      <c r="C67" s="33" t="s">
        <v>54</v>
      </c>
      <c r="D67" s="33" t="s">
        <v>256</v>
      </c>
      <c r="E67" s="57">
        <f>SUM('Приложение 3'!G78)</f>
        <v>20</v>
      </c>
      <c r="F67" s="57">
        <f>SUM('Приложение 3'!H78)</f>
        <v>0</v>
      </c>
      <c r="G67" s="101">
        <f t="shared" si="1"/>
        <v>0</v>
      </c>
    </row>
    <row r="68" spans="1:7" ht="39.75" customHeight="1" hidden="1">
      <c r="A68" s="44" t="str">
        <f>'Приложение 3'!A79</f>
        <v>Муниципальная программа "Улучшение условий и охраны труда в Алексеевском муниципальном районе на 2017-2019 годы"</v>
      </c>
      <c r="B68" s="58" t="s">
        <v>92</v>
      </c>
      <c r="C68" s="58" t="s">
        <v>263</v>
      </c>
      <c r="D68" s="58" t="s">
        <v>50</v>
      </c>
      <c r="E68" s="59">
        <f>SUM('Приложение 3'!G79)</f>
        <v>0</v>
      </c>
      <c r="F68" s="59">
        <f>SUM('Приложение 3'!H79)</f>
        <v>0</v>
      </c>
      <c r="G68" s="101" t="e">
        <f t="shared" si="1"/>
        <v>#DIV/0!</v>
      </c>
    </row>
    <row r="69" spans="1:7" ht="63.75" customHeight="1" hidden="1">
      <c r="A69" s="46" t="s">
        <v>91</v>
      </c>
      <c r="B69" s="33" t="s">
        <v>92</v>
      </c>
      <c r="C69" s="33" t="s">
        <v>263</v>
      </c>
      <c r="D69" s="33" t="s">
        <v>256</v>
      </c>
      <c r="E69" s="57">
        <f>SUM('Приложение 3'!G80)</f>
        <v>0</v>
      </c>
      <c r="F69" s="57">
        <f>SUM('Приложение 3'!H80)</f>
        <v>0</v>
      </c>
      <c r="G69" s="101" t="e">
        <f t="shared" si="1"/>
        <v>#DIV/0!</v>
      </c>
    </row>
    <row r="70" spans="1:7" ht="108" customHeight="1">
      <c r="A70" s="44" t="str">
        <f>'Приложение 3'!A168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70" s="58" t="s">
        <v>77</v>
      </c>
      <c r="C70" s="58" t="s">
        <v>263</v>
      </c>
      <c r="D70" s="58" t="s">
        <v>50</v>
      </c>
      <c r="E70" s="59">
        <f>SUM(E71:E74)</f>
        <v>1508.2222199999997</v>
      </c>
      <c r="F70" s="59">
        <f>SUM(F71:F74)</f>
        <v>0</v>
      </c>
      <c r="G70" s="102">
        <f t="shared" si="1"/>
        <v>0</v>
      </c>
    </row>
    <row r="71" spans="1:7" ht="73.5" customHeight="1">
      <c r="A71" s="45" t="s">
        <v>107</v>
      </c>
      <c r="B71" s="33" t="s">
        <v>77</v>
      </c>
      <c r="C71" s="33" t="s">
        <v>263</v>
      </c>
      <c r="D71" s="33" t="s">
        <v>256</v>
      </c>
      <c r="E71" s="57">
        <f>SUM('Приложение 3'!G169+'Приложение 3'!G197)-E72-E73-E74</f>
        <v>373.0681899999997</v>
      </c>
      <c r="F71" s="57">
        <v>0</v>
      </c>
      <c r="G71" s="101">
        <f t="shared" si="1"/>
        <v>0</v>
      </c>
    </row>
    <row r="72" spans="1:7" ht="60" customHeight="1">
      <c r="A72" s="45" t="s">
        <v>140</v>
      </c>
      <c r="B72" s="33" t="s">
        <v>77</v>
      </c>
      <c r="C72" s="33" t="s">
        <v>263</v>
      </c>
      <c r="D72" s="33" t="s">
        <v>260</v>
      </c>
      <c r="E72" s="57">
        <v>1122.9403</v>
      </c>
      <c r="F72" s="57">
        <v>0</v>
      </c>
      <c r="G72" s="101">
        <f t="shared" si="1"/>
        <v>0</v>
      </c>
    </row>
    <row r="73" spans="1:7" ht="14.25" customHeight="1" hidden="1">
      <c r="A73" s="45" t="s">
        <v>163</v>
      </c>
      <c r="B73" s="33" t="s">
        <v>77</v>
      </c>
      <c r="C73" s="33" t="s">
        <v>263</v>
      </c>
      <c r="D73" s="33" t="s">
        <v>266</v>
      </c>
      <c r="E73" s="57">
        <f>15.361-15.361</f>
        <v>0</v>
      </c>
      <c r="F73" s="57">
        <v>0</v>
      </c>
      <c r="G73" s="101" t="e">
        <f t="shared" si="1"/>
        <v>#DIV/0!</v>
      </c>
    </row>
    <row r="74" spans="1:7" ht="14.25" customHeight="1">
      <c r="A74" s="45" t="s">
        <v>174</v>
      </c>
      <c r="B74" s="33" t="s">
        <v>77</v>
      </c>
      <c r="C74" s="33" t="s">
        <v>263</v>
      </c>
      <c r="D74" s="33" t="s">
        <v>266</v>
      </c>
      <c r="E74" s="57">
        <v>12.21373</v>
      </c>
      <c r="F74" s="57">
        <v>0</v>
      </c>
      <c r="G74" s="101">
        <f t="shared" si="1"/>
        <v>0</v>
      </c>
    </row>
    <row r="75" spans="1:7" ht="40.5" customHeight="1">
      <c r="A75" s="44" t="str">
        <f>'Приложение 3'!A81</f>
        <v>Муниципальная программа "Профилактика терроризма и экстремизма на территории Алексеевского муниципального района на 2024-2026 годы"</v>
      </c>
      <c r="B75" s="58" t="s">
        <v>57</v>
      </c>
      <c r="C75" s="58">
        <f>'Приложение 3'!E137</f>
        <v>0</v>
      </c>
      <c r="D75" s="58" t="s">
        <v>50</v>
      </c>
      <c r="E75" s="59">
        <f>SUM('Приложение 3'!G81)</f>
        <v>20</v>
      </c>
      <c r="F75" s="59">
        <f>SUM('Приложение 3'!H81)</f>
        <v>0</v>
      </c>
      <c r="G75" s="102">
        <f t="shared" si="1"/>
        <v>0</v>
      </c>
    </row>
    <row r="76" spans="1:7" ht="30.75" customHeight="1">
      <c r="A76" s="45" t="s">
        <v>69</v>
      </c>
      <c r="B76" s="33" t="s">
        <v>57</v>
      </c>
      <c r="C76" s="33" t="s">
        <v>263</v>
      </c>
      <c r="D76" s="33" t="s">
        <v>256</v>
      </c>
      <c r="E76" s="57">
        <f>SUM('Приложение 3'!G82)</f>
        <v>20</v>
      </c>
      <c r="F76" s="57">
        <f>SUM('Приложение 3'!H82)</f>
        <v>0</v>
      </c>
      <c r="G76" s="101">
        <f t="shared" si="1"/>
        <v>0</v>
      </c>
    </row>
    <row r="77" spans="1:7" ht="65.25" customHeight="1">
      <c r="A77" s="44" t="str">
        <f>'Приложение 3'!A83</f>
        <v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v>
      </c>
      <c r="B77" s="58" t="s">
        <v>268</v>
      </c>
      <c r="C77" s="58" t="s">
        <v>263</v>
      </c>
      <c r="D77" s="58"/>
      <c r="E77" s="59">
        <f>SUM(E78)</f>
        <v>36000</v>
      </c>
      <c r="F77" s="59">
        <f>SUM(F78)</f>
        <v>12802.06352</v>
      </c>
      <c r="G77" s="102">
        <f aca="true" t="shared" si="2" ref="G77:G102">SUM(F77/E77)*100</f>
        <v>35.56128755555555</v>
      </c>
    </row>
    <row r="78" spans="1:7" ht="24">
      <c r="A78" s="45" t="str">
        <f>'Приложение 3'!A84</f>
        <v>Предоставление субсидий бюджетным, автономным учреждениям и иным некоммерческим организациям</v>
      </c>
      <c r="B78" s="33" t="s">
        <v>268</v>
      </c>
      <c r="C78" s="33" t="s">
        <v>263</v>
      </c>
      <c r="D78" s="33" t="s">
        <v>47</v>
      </c>
      <c r="E78" s="57">
        <f>SUM('Приложение 3'!G84+'Приложение 3'!G146)</f>
        <v>36000</v>
      </c>
      <c r="F78" s="57">
        <f>SUM('Приложение 3'!H84+'Приложение 3'!H146)</f>
        <v>12802.06352</v>
      </c>
      <c r="G78" s="101">
        <f t="shared" si="2"/>
        <v>35.56128755555555</v>
      </c>
    </row>
    <row r="79" spans="1:7" ht="41.25" customHeight="1">
      <c r="A79" s="44" t="str">
        <f>'Приложение 3'!A170</f>
        <v>Муниципальная программа "Развитие дошкольного образования детей на территории Алексеевского муниципального района на 2024-2026 годы"</v>
      </c>
      <c r="B79" s="58" t="s">
        <v>273</v>
      </c>
      <c r="C79" s="58" t="s">
        <v>263</v>
      </c>
      <c r="D79" s="58"/>
      <c r="E79" s="59">
        <f>SUM(E80)</f>
        <v>27015.100000000002</v>
      </c>
      <c r="F79" s="59">
        <f>SUM(F80)</f>
        <v>6684.9384</v>
      </c>
      <c r="G79" s="102">
        <f t="shared" si="2"/>
        <v>24.74519213328842</v>
      </c>
    </row>
    <row r="80" spans="1:7" ht="24">
      <c r="A80" s="45" t="str">
        <f>'Приложение 3'!A171</f>
        <v>Предоставление субсидий бюджетным, автономным учреждениям и иным некоммерческим организациям</v>
      </c>
      <c r="B80" s="33" t="s">
        <v>273</v>
      </c>
      <c r="C80" s="33" t="s">
        <v>263</v>
      </c>
      <c r="D80" s="33" t="s">
        <v>47</v>
      </c>
      <c r="E80" s="57">
        <f>SUM('Приложение 3'!G170)</f>
        <v>27015.100000000002</v>
      </c>
      <c r="F80" s="57">
        <f>SUM('Приложение 3'!H170)</f>
        <v>6684.9384</v>
      </c>
      <c r="G80" s="101">
        <f t="shared" si="2"/>
        <v>24.74519213328842</v>
      </c>
    </row>
    <row r="81" spans="1:7" ht="36">
      <c r="A81" s="44" t="str">
        <f>'Приложение 3'!A176</f>
        <v>Муниципальная программа "Развитие образования детей на территории Алексеевского муниципального района на 2023-2025 годы"</v>
      </c>
      <c r="B81" s="58" t="s">
        <v>274</v>
      </c>
      <c r="C81" s="58" t="s">
        <v>263</v>
      </c>
      <c r="D81" s="58"/>
      <c r="E81" s="59">
        <f>SUM(E82+E84+E89)</f>
        <v>365122.76851000014</v>
      </c>
      <c r="F81" s="59">
        <f>SUM(F82+F84+F89)</f>
        <v>52954.715509999995</v>
      </c>
      <c r="G81" s="102">
        <f t="shared" si="2"/>
        <v>14.50326303289674</v>
      </c>
    </row>
    <row r="82" spans="1:7" ht="26.25" customHeight="1">
      <c r="A82" s="44" t="str">
        <f>'Приложение 3'!A177</f>
        <v>Подпрограмма "Развитие дошкольного образования детей"</v>
      </c>
      <c r="B82" s="58" t="s">
        <v>274</v>
      </c>
      <c r="C82" s="58" t="s">
        <v>53</v>
      </c>
      <c r="D82" s="58"/>
      <c r="E82" s="59">
        <f>SUM(E83)</f>
        <v>14121.9</v>
      </c>
      <c r="F82" s="59">
        <f>SUM(F83)</f>
        <v>2754.58171</v>
      </c>
      <c r="G82" s="102">
        <f t="shared" si="2"/>
        <v>19.5057443403508</v>
      </c>
    </row>
    <row r="83" spans="1:7" ht="25.5" customHeight="1">
      <c r="A83" s="45" t="str">
        <f>'Приложение 3'!A180</f>
        <v>Предоставление субсидий бюджетным, автономным учреждениям и иным некоммерческим организациям</v>
      </c>
      <c r="B83" s="33" t="s">
        <v>274</v>
      </c>
      <c r="C83" s="33" t="s">
        <v>53</v>
      </c>
      <c r="D83" s="33" t="s">
        <v>47</v>
      </c>
      <c r="E83" s="57">
        <f>SUM('Приложение 3'!G177)</f>
        <v>14121.9</v>
      </c>
      <c r="F83" s="57">
        <f>SUM('Приложение 3'!H177)</f>
        <v>2754.58171</v>
      </c>
      <c r="G83" s="101">
        <f t="shared" si="2"/>
        <v>19.5057443403508</v>
      </c>
    </row>
    <row r="84" spans="1:8" ht="15.75" customHeight="1">
      <c r="A84" s="44" t="str">
        <f>'Приложение 3'!A201</f>
        <v>Подпрограмма "Развитие общего образования детей"</v>
      </c>
      <c r="B84" s="58" t="s">
        <v>274</v>
      </c>
      <c r="C84" s="58" t="s">
        <v>54</v>
      </c>
      <c r="D84" s="33"/>
      <c r="E84" s="59">
        <f>SUM(E85:E88)</f>
        <v>338938.8973500001</v>
      </c>
      <c r="F84" s="59">
        <f>SUM(F85:F88)</f>
        <v>47609.29347999999</v>
      </c>
      <c r="G84" s="102">
        <f t="shared" si="2"/>
        <v>14.046571182072674</v>
      </c>
      <c r="H84" s="83"/>
    </row>
    <row r="85" spans="1:7" ht="48">
      <c r="A85" s="45" t="str">
        <f>'Приложение 3'!A203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5" s="33" t="s">
        <v>274</v>
      </c>
      <c r="C85" s="33" t="s">
        <v>54</v>
      </c>
      <c r="D85" s="33" t="s">
        <v>45</v>
      </c>
      <c r="E85" s="57">
        <f>SUM('Приложение 3'!G203+'Приложение 3'!G216+'Приложение 3'!G218+'Приложение 3'!G257)</f>
        <v>7053.08</v>
      </c>
      <c r="F85" s="57">
        <f>SUM('Приложение 3'!H203+'Приложение 3'!H216+'Приложение 3'!H218+'Приложение 3'!H257)</f>
        <v>1255.90082</v>
      </c>
      <c r="G85" s="101">
        <f t="shared" si="2"/>
        <v>17.80641677111276</v>
      </c>
    </row>
    <row r="86" spans="1:7" ht="24">
      <c r="A86" s="45" t="str">
        <f>'Приложение 3'!A204</f>
        <v>Закупка товаров, работ и услуг для государственных (муниципальных) нужд</v>
      </c>
      <c r="B86" s="33" t="s">
        <v>274</v>
      </c>
      <c r="C86" s="33" t="s">
        <v>54</v>
      </c>
      <c r="D86" s="33" t="s">
        <v>25</v>
      </c>
      <c r="E86" s="57">
        <f>SUM('Приложение 3'!G204+'Приложение 3'!G205+'Приложение 3'!G219+'Приложение 3'!G220+'Приложение 3'!G221+'Приложение 3'!G206)</f>
        <v>1004.81</v>
      </c>
      <c r="F86" s="57">
        <f>SUM('Приложение 3'!H204+'Приложение 3'!H205+'Приложение 3'!H219+'Приложение 3'!H220+'Приложение 3'!H221+'Приложение 3'!H206)</f>
        <v>245.62682</v>
      </c>
      <c r="G86" s="101">
        <f t="shared" si="2"/>
        <v>24.445101063882728</v>
      </c>
    </row>
    <row r="87" spans="1:7" ht="12.75">
      <c r="A87" s="45" t="str">
        <f>'Приложение 3'!A207</f>
        <v>Иные бюджетные ассигнования</v>
      </c>
      <c r="B87" s="33" t="s">
        <v>274</v>
      </c>
      <c r="C87" s="33" t="s">
        <v>54</v>
      </c>
      <c r="D87" s="33" t="s">
        <v>46</v>
      </c>
      <c r="E87" s="57">
        <f>SUM('Приложение 3'!G207)</f>
        <v>30</v>
      </c>
      <c r="F87" s="57">
        <f>SUM('Приложение 3'!H207)</f>
        <v>6.50712</v>
      </c>
      <c r="G87" s="101">
        <f t="shared" si="2"/>
        <v>21.690399999999997</v>
      </c>
    </row>
    <row r="88" spans="1:7" ht="24" customHeight="1">
      <c r="A88" s="45" t="str">
        <f>'Приложение 3'!A209</f>
        <v>Предоставление субсидий бюджетным, автономным учреждениям и иным некоммерческим организациям</v>
      </c>
      <c r="B88" s="33" t="s">
        <v>274</v>
      </c>
      <c r="C88" s="33" t="s">
        <v>54</v>
      </c>
      <c r="D88" s="33" t="s">
        <v>47</v>
      </c>
      <c r="E88" s="57">
        <f>SUM('Приложение 3'!G209+'Приложение 3'!G210+'Приложение 3'!G211+'Приложение 3'!G213+'Приложение 3'!G222+'Приложение 3'!G223+'Приложение 3'!G224+'Приложение 3'!G225+'Приложение 3'!G226+'Приложение 3'!G227+'Приложение 3'!G229+'Приложение 3'!G258+'Приложение 3'!G212+'Приложение 3'!G228+'Приложение 3'!G214+'Приложение 3'!G230+'Приложение 3'!G208)</f>
        <v>330851.0073500001</v>
      </c>
      <c r="F88" s="57">
        <f>SUM('Приложение 3'!H209+'Приложение 3'!H210+'Приложение 3'!H211+'Приложение 3'!H213+'Приложение 3'!H222+'Приложение 3'!H223+'Приложение 3'!H224+'Приложение 3'!H225+'Приложение 3'!H226+'Приложение 3'!H227+'Приложение 3'!H229+'Приложение 3'!H258+'Приложение 3'!H212+'Приложение 3'!H228+'Приложение 3'!H214+'Приложение 3'!H230+'Приложение 3'!H208)</f>
        <v>46101.25871999999</v>
      </c>
      <c r="G88" s="101">
        <f t="shared" si="2"/>
        <v>13.934144885716027</v>
      </c>
    </row>
    <row r="89" spans="1:8" ht="26.25" customHeight="1">
      <c r="A89" s="44" t="str">
        <f>'Приложение 3'!A236</f>
        <v>Подпрограмма "Развитие дополнительного образования детей"</v>
      </c>
      <c r="B89" s="58" t="s">
        <v>274</v>
      </c>
      <c r="C89" s="58" t="s">
        <v>55</v>
      </c>
      <c r="D89" s="58"/>
      <c r="E89" s="59">
        <f>SUM(E90:E91)</f>
        <v>12061.971160000001</v>
      </c>
      <c r="F89" s="59">
        <f>SUM(F90:F91)</f>
        <v>2590.8403200000002</v>
      </c>
      <c r="G89" s="102">
        <f t="shared" si="2"/>
        <v>21.47941066707044</v>
      </c>
      <c r="H89" s="83"/>
    </row>
    <row r="90" spans="1:7" ht="27" customHeight="1">
      <c r="A90" s="45" t="str">
        <f>'Приложение 3'!A237</f>
        <v>Предоставление субсидий бюджетным, автономным учреждениям и иным некоммерческим организациям (ДШИ)</v>
      </c>
      <c r="B90" s="33" t="s">
        <v>274</v>
      </c>
      <c r="C90" s="33" t="s">
        <v>55</v>
      </c>
      <c r="D90" s="33" t="s">
        <v>47</v>
      </c>
      <c r="E90" s="57">
        <f>SUM('Приложение 3'!G237+'Приложение 3'!G238)</f>
        <v>6611.54292</v>
      </c>
      <c r="F90" s="57">
        <f>SUM('Приложение 3'!H237+'Приложение 3'!H238)</f>
        <v>1240.21827</v>
      </c>
      <c r="G90" s="101">
        <f t="shared" si="2"/>
        <v>18.7583788686953</v>
      </c>
    </row>
    <row r="91" spans="1:7" ht="23.25" customHeight="1">
      <c r="A91" s="45" t="str">
        <f>'Приложение 3'!A239</f>
        <v>Предоставление субсидий бюджетным, автономным учреждениям и иным некоммерческим организациям (ДЮСШ)</v>
      </c>
      <c r="B91" s="33" t="s">
        <v>274</v>
      </c>
      <c r="C91" s="33" t="s">
        <v>55</v>
      </c>
      <c r="D91" s="33" t="s">
        <v>47</v>
      </c>
      <c r="E91" s="57">
        <f>SUM('Приложение 3'!G239:G240)</f>
        <v>5450.42824</v>
      </c>
      <c r="F91" s="57">
        <f>SUM('Приложение 3'!H239:H240)</f>
        <v>1350.62205</v>
      </c>
      <c r="G91" s="101">
        <f t="shared" si="2"/>
        <v>24.78010883783326</v>
      </c>
    </row>
    <row r="92" spans="1:7" ht="33" customHeight="1">
      <c r="A92" s="44" t="str">
        <f>'Приложение 3'!A252</f>
        <v>Муниципальная программа "Молодежная политика на территории Алексеевского муниципального района на 2024-2026 годы" (СДЦ)</v>
      </c>
      <c r="B92" s="58" t="s">
        <v>275</v>
      </c>
      <c r="C92" s="58" t="s">
        <v>263</v>
      </c>
      <c r="D92" s="58"/>
      <c r="E92" s="59">
        <f>SUM(E93)</f>
        <v>4715.6</v>
      </c>
      <c r="F92" s="59">
        <f>SUM(F93)</f>
        <v>917.65832</v>
      </c>
      <c r="G92" s="102">
        <f t="shared" si="2"/>
        <v>19.460054287895495</v>
      </c>
    </row>
    <row r="93" spans="1:7" ht="24">
      <c r="A93" s="45" t="str">
        <f>'Приложение 3'!A253</f>
        <v>Предоставление субсидий бюджетным, автономным учреждениям и иным некоммерческим организациям</v>
      </c>
      <c r="B93" s="33" t="s">
        <v>275</v>
      </c>
      <c r="C93" s="33" t="s">
        <v>263</v>
      </c>
      <c r="D93" s="33" t="s">
        <v>47</v>
      </c>
      <c r="E93" s="57">
        <f>SUM('Приложение 3'!G252)</f>
        <v>4715.6</v>
      </c>
      <c r="F93" s="57">
        <f>SUM('Приложение 3'!H252)</f>
        <v>917.65832</v>
      </c>
      <c r="G93" s="101">
        <f t="shared" si="2"/>
        <v>19.460054287895495</v>
      </c>
    </row>
    <row r="94" spans="1:7" ht="51" customHeight="1">
      <c r="A94" s="44" t="str">
        <f>'Приложение 3'!A265</f>
        <v>Муниципальная программа "Организация деятельности МКОУ «Методический центр в системе дополнительного педагогического образования (повышение квалификации)» на 2024-2026 годы" </v>
      </c>
      <c r="B94" s="58" t="s">
        <v>276</v>
      </c>
      <c r="C94" s="58" t="s">
        <v>263</v>
      </c>
      <c r="D94" s="58"/>
      <c r="E94" s="59">
        <f>SUM(E95:E97)</f>
        <v>1700</v>
      </c>
      <c r="F94" s="59">
        <f>SUM(F95:F97)</f>
        <v>365.71989</v>
      </c>
      <c r="G94" s="102">
        <f t="shared" si="2"/>
        <v>21.51293470588235</v>
      </c>
    </row>
    <row r="95" spans="1:7" ht="46.5" customHeight="1">
      <c r="A95" s="45" t="str">
        <f>'Приложение 3'!A266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5" s="33" t="s">
        <v>276</v>
      </c>
      <c r="C95" s="33" t="s">
        <v>263</v>
      </c>
      <c r="D95" s="33" t="s">
        <v>45</v>
      </c>
      <c r="E95" s="57">
        <f>SUM('Приложение 3'!G266)</f>
        <v>1700</v>
      </c>
      <c r="F95" s="57">
        <f>SUM('Приложение 3'!H266)</f>
        <v>365.71989</v>
      </c>
      <c r="G95" s="101">
        <f t="shared" si="2"/>
        <v>21.51293470588235</v>
      </c>
    </row>
    <row r="96" spans="1:7" ht="24" hidden="1">
      <c r="A96" s="45" t="str">
        <f>'Приложение 3'!A267</f>
        <v>Закупка товаров, работ и услуг для государственных (муниципальных) нужд</v>
      </c>
      <c r="B96" s="33" t="s">
        <v>276</v>
      </c>
      <c r="C96" s="33" t="s">
        <v>263</v>
      </c>
      <c r="D96" s="33" t="s">
        <v>25</v>
      </c>
      <c r="E96" s="57">
        <f>SUM('Приложение 3'!G267)</f>
        <v>0</v>
      </c>
      <c r="F96" s="57">
        <f>SUM('Приложение 3'!H267)</f>
        <v>0</v>
      </c>
      <c r="G96" s="101" t="e">
        <f t="shared" si="2"/>
        <v>#DIV/0!</v>
      </c>
    </row>
    <row r="97" spans="1:7" ht="12.75" hidden="1">
      <c r="A97" s="45" t="str">
        <f>'Приложение 3'!A268</f>
        <v>Иные бюджетные ассигнования</v>
      </c>
      <c r="B97" s="33" t="s">
        <v>276</v>
      </c>
      <c r="C97" s="33" t="s">
        <v>263</v>
      </c>
      <c r="D97" s="33" t="s">
        <v>46</v>
      </c>
      <c r="E97" s="57">
        <f>SUM('Приложение 3'!G268)</f>
        <v>0</v>
      </c>
      <c r="F97" s="57">
        <f>SUM('Приложение 3'!H268)</f>
        <v>0</v>
      </c>
      <c r="G97" s="101" t="e">
        <f t="shared" si="2"/>
        <v>#DIV/0!</v>
      </c>
    </row>
    <row r="98" spans="1:7" ht="34.5" customHeight="1">
      <c r="A98" s="44" t="str">
        <f>'Приложение 3'!A280</f>
        <v>Муниципальная программа "Развитие культуры и искусства в Алексеевском муниципальном районе на 2024-2026 годы"</v>
      </c>
      <c r="B98" s="58" t="s">
        <v>277</v>
      </c>
      <c r="C98" s="58" t="s">
        <v>263</v>
      </c>
      <c r="D98" s="58"/>
      <c r="E98" s="59">
        <f>SUM(E99)</f>
        <v>13183.271120000001</v>
      </c>
      <c r="F98" s="59">
        <f>SUM(F99)</f>
        <v>3419.8941100000006</v>
      </c>
      <c r="G98" s="102">
        <f t="shared" si="2"/>
        <v>25.941164972415436</v>
      </c>
    </row>
    <row r="99" spans="1:7" ht="24">
      <c r="A99" s="45" t="str">
        <f>'Приложение 3'!A282</f>
        <v>Предоставление субсидий бюджетным, автономным учреждениям и иным некоммерческим организациям</v>
      </c>
      <c r="B99" s="33" t="s">
        <v>277</v>
      </c>
      <c r="C99" s="33" t="s">
        <v>263</v>
      </c>
      <c r="D99" s="33" t="s">
        <v>47</v>
      </c>
      <c r="E99" s="57">
        <f>SUM('Приложение 3'!G280)</f>
        <v>13183.271120000001</v>
      </c>
      <c r="F99" s="57">
        <f>SUM('Приложение 3'!H280)</f>
        <v>3419.8941100000006</v>
      </c>
      <c r="G99" s="101">
        <f t="shared" si="2"/>
        <v>25.941164972415436</v>
      </c>
    </row>
    <row r="100" spans="1:7" ht="36">
      <c r="A100" s="44" t="str">
        <f>'Приложение 3'!A346</f>
        <v>Муниципальная программа "Поддержка средств массовой информации в Алексеевском муниципальном районе на 2024-2026 годы"</v>
      </c>
      <c r="B100" s="58" t="s">
        <v>16</v>
      </c>
      <c r="C100" s="58" t="s">
        <v>263</v>
      </c>
      <c r="D100" s="58"/>
      <c r="E100" s="59">
        <f>SUM(E101)</f>
        <v>2163.6</v>
      </c>
      <c r="F100" s="59">
        <f>SUM(F101)</f>
        <v>300</v>
      </c>
      <c r="G100" s="102">
        <f t="shared" si="2"/>
        <v>13.865779256794234</v>
      </c>
    </row>
    <row r="101" spans="1:7" ht="28.5" customHeight="1">
      <c r="A101" s="45" t="str">
        <f>'Приложение 3'!A347</f>
        <v>Предоставление субсидий бюджетным, автономным учреждениям и иным некоммерческим организациям</v>
      </c>
      <c r="B101" s="33" t="s">
        <v>16</v>
      </c>
      <c r="C101" s="33" t="s">
        <v>263</v>
      </c>
      <c r="D101" s="33" t="s">
        <v>47</v>
      </c>
      <c r="E101" s="57">
        <f>SUM('Приложение 3'!G346)</f>
        <v>2163.6</v>
      </c>
      <c r="F101" s="57">
        <f>SUM('Приложение 3'!H346)</f>
        <v>300</v>
      </c>
      <c r="G101" s="101">
        <f t="shared" si="2"/>
        <v>13.865779256794234</v>
      </c>
    </row>
    <row r="102" spans="1:8" ht="12.75">
      <c r="A102" s="42" t="s">
        <v>349</v>
      </c>
      <c r="B102" s="33"/>
      <c r="C102" s="34"/>
      <c r="D102" s="61"/>
      <c r="E102" s="59">
        <f>SUM(E9+E11+E25+E29+E31+E45+E47+E49+E51+E53+E55+E57+E61+E63+E70+E75+E39+E68+E41+E21+E77+E79+E81+E92+E94+E98+E100)</f>
        <v>596030.9793100002</v>
      </c>
      <c r="F102" s="59">
        <f>SUM(F9+F11+F25+F29+F31+F45+F47+F49+F51+F53+F55+F57+F61+F63+F70+F75+F39+F68+F41+F21+F77+F79+F81+F92+F94+F98+F100)</f>
        <v>79066.26384999999</v>
      </c>
      <c r="G102" s="102">
        <f t="shared" si="2"/>
        <v>13.265462131101247</v>
      </c>
      <c r="H102" s="26"/>
    </row>
    <row r="103" spans="4:5" ht="15">
      <c r="D103" s="17"/>
      <c r="E103" s="75"/>
    </row>
    <row r="104" ht="15">
      <c r="D104" s="17"/>
    </row>
    <row r="105" spans="1:7" s="14" customFormat="1" ht="15">
      <c r="A105" s="7"/>
      <c r="B105" s="12"/>
      <c r="C105" s="13"/>
      <c r="D105" s="17"/>
      <c r="E105" s="2"/>
      <c r="F105" s="2"/>
      <c r="G105" s="2"/>
    </row>
    <row r="106" spans="1:7" s="14" customFormat="1" ht="15">
      <c r="A106" s="7"/>
      <c r="B106" s="12"/>
      <c r="C106" s="13"/>
      <c r="D106" s="17"/>
      <c r="E106" s="2"/>
      <c r="F106" s="2"/>
      <c r="G106" s="2"/>
    </row>
    <row r="107" ht="15">
      <c r="D107" s="17"/>
    </row>
    <row r="108" ht="15">
      <c r="D108" s="17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1" r:id="rId1"/>
  <rowBreaks count="1" manualBreakCount="1">
    <brk id="6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2024-05-06T07:04:33Z</cp:lastPrinted>
  <dcterms:created xsi:type="dcterms:W3CDTF">2002-03-11T10:22:12Z</dcterms:created>
  <dcterms:modified xsi:type="dcterms:W3CDTF">2024-06-13T06:34:16Z</dcterms:modified>
  <cp:category/>
  <cp:version/>
  <cp:contentType/>
  <cp:contentStatus/>
</cp:coreProperties>
</file>